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mashaob\Desktop\Budget 15-16\Final final Budget15-16\Final Submission Amended\"/>
    </mc:Choice>
  </mc:AlternateContent>
  <bookViews>
    <workbookView xWindow="90" yWindow="210" windowWidth="19230" windowHeight="5430" tabRatio="888" firstSheet="14" activeTab="28"/>
  </bookViews>
  <sheets>
    <sheet name="START" sheetId="1" r:id="rId1"/>
    <sheet name="Instructions" sheetId="2" r:id="rId2"/>
    <sheet name="Template names" sheetId="3" state="veryHidden" r:id="rId3"/>
    <sheet name="Lookup and lists" sheetId="4" state="veryHidden" r:id="rId4"/>
    <sheet name="Org structure" sheetId="5" r:id="rId5"/>
    <sheet name="Contacts" sheetId="6" r:id="rId6"/>
    <sheet name="A1-Sum" sheetId="7" r:id="rId7"/>
    <sheet name="A2-FinPerf SC" sheetId="8" r:id="rId8"/>
    <sheet name="A2A" sheetId="9" r:id="rId9"/>
    <sheet name="A3-FinPerf V" sheetId="10" r:id="rId10"/>
    <sheet name="A3A" sheetId="11" r:id="rId11"/>
    <sheet name="A4-FinPerf RE" sheetId="12" r:id="rId12"/>
    <sheet name="A5-Capex" sheetId="13" r:id="rId13"/>
    <sheet name="A5A" sheetId="14" r:id="rId14"/>
    <sheet name="A6-FinPos" sheetId="15" r:id="rId15"/>
    <sheet name="A7-CFlow" sheetId="16" r:id="rId16"/>
    <sheet name="A8-ResRecon" sheetId="17" r:id="rId17"/>
    <sheet name="A9-Asset" sheetId="18" r:id="rId18"/>
    <sheet name="A10-SerDel" sheetId="19" r:id="rId19"/>
    <sheet name="SA1" sheetId="20" r:id="rId20"/>
    <sheet name="SA2" sheetId="21" r:id="rId21"/>
    <sheet name="SA3" sheetId="22" r:id="rId22"/>
    <sheet name="SA4" sheetId="23" r:id="rId23"/>
    <sheet name="SA5" sheetId="24" r:id="rId24"/>
    <sheet name="SA6" sheetId="25" r:id="rId25"/>
    <sheet name="SA7" sheetId="26" r:id="rId26"/>
    <sheet name="SA8" sheetId="27" r:id="rId27"/>
    <sheet name="SA9" sheetId="28" r:id="rId28"/>
    <sheet name="SA10" sheetId="29" r:id="rId29"/>
    <sheet name="SA11" sheetId="30" r:id="rId30"/>
    <sheet name="SA12a" sheetId="31" r:id="rId31"/>
    <sheet name="SA12b" sheetId="32" r:id="rId32"/>
    <sheet name="SA13a" sheetId="33" r:id="rId33"/>
    <sheet name="SA13b" sheetId="34" r:id="rId34"/>
    <sheet name="SA14" sheetId="35" r:id="rId35"/>
    <sheet name="SA15" sheetId="36" r:id="rId36"/>
    <sheet name="SA16" sheetId="37" r:id="rId37"/>
    <sheet name="SA17" sheetId="38" r:id="rId38"/>
    <sheet name="SA18" sheetId="39" r:id="rId39"/>
    <sheet name="SA19" sheetId="40" r:id="rId40"/>
    <sheet name="SA20" sheetId="41" r:id="rId41"/>
    <sheet name="SA21" sheetId="42" r:id="rId42"/>
    <sheet name="SA22" sheetId="43" r:id="rId43"/>
    <sheet name="SA23" sheetId="44" r:id="rId44"/>
    <sheet name="SA24" sheetId="45" r:id="rId45"/>
    <sheet name="SA25" sheetId="46" r:id="rId46"/>
    <sheet name="SA26" sheetId="47" r:id="rId47"/>
    <sheet name="SA27" sheetId="48" r:id="rId48"/>
    <sheet name="SA28" sheetId="49" r:id="rId49"/>
    <sheet name="SA29" sheetId="50" r:id="rId50"/>
    <sheet name="SA30" sheetId="51" r:id="rId51"/>
    <sheet name="SA31" sheetId="52" r:id="rId52"/>
    <sheet name="SA32" sheetId="53" r:id="rId53"/>
    <sheet name="SA33" sheetId="54" r:id="rId54"/>
    <sheet name="SA34a" sheetId="55" r:id="rId55"/>
    <sheet name="SA34b" sheetId="56" r:id="rId56"/>
    <sheet name="SA34c" sheetId="57" r:id="rId57"/>
    <sheet name="SA34d" sheetId="58" r:id="rId58"/>
    <sheet name="SA35" sheetId="59" r:id="rId59"/>
    <sheet name="SA36" sheetId="60" r:id="rId60"/>
    <sheet name="SA37" sheetId="61" r:id="rId61"/>
    <sheet name="NERF" sheetId="62" state="hidden" r:id="rId62"/>
    <sheet name="MSCOA" sheetId="63" state="hidden" r:id="rId63"/>
    <sheet name="Compliance assessment" sheetId="64" state="hidden" r:id="rId64"/>
  </sheets>
  <externalReferences>
    <externalReference r:id="rId65"/>
    <externalReference r:id="rId66"/>
    <externalReference r:id="rId67"/>
    <externalReference r:id="rId68"/>
    <externalReference r:id="rId69"/>
    <externalReference r:id="rId70"/>
    <externalReference r:id="rId71"/>
    <externalReference r:id="rId72"/>
  </externalReferences>
  <definedNames>
    <definedName name="_ADJ1" localSheetId="31">'Template names'!#REF!</definedName>
    <definedName name="_ADJ1" localSheetId="32">'Template names'!#REF!</definedName>
    <definedName name="_ADJ1" localSheetId="33">'Template names'!#REF!</definedName>
    <definedName name="_ADJ1" localSheetId="57">'Template names'!#REF!</definedName>
    <definedName name="_ADJ1">'Template names'!#REF!</definedName>
    <definedName name="_ADJ10" localSheetId="31">'Template names'!#REF!</definedName>
    <definedName name="_ADJ10" localSheetId="32">'Template names'!#REF!</definedName>
    <definedName name="_ADJ10" localSheetId="33">'Template names'!#REF!</definedName>
    <definedName name="_ADJ10" localSheetId="57">'Template names'!#REF!</definedName>
    <definedName name="_ADJ10">'Template names'!#REF!</definedName>
    <definedName name="_ADJ11" localSheetId="31">'Template names'!#REF!</definedName>
    <definedName name="_ADJ11" localSheetId="32">'Template names'!#REF!</definedName>
    <definedName name="_ADJ11" localSheetId="33">'Template names'!#REF!</definedName>
    <definedName name="_ADJ11" localSheetId="57">'Template names'!#REF!</definedName>
    <definedName name="_ADJ11">'Template names'!#REF!</definedName>
    <definedName name="_ADJ12" localSheetId="31">'Template names'!#REF!</definedName>
    <definedName name="_ADJ12" localSheetId="32">'Template names'!#REF!</definedName>
    <definedName name="_ADJ12" localSheetId="33">'Template names'!#REF!</definedName>
    <definedName name="_ADJ12" localSheetId="57">'Template names'!#REF!</definedName>
    <definedName name="_ADJ12">'Template names'!#REF!</definedName>
    <definedName name="_ADJ13" localSheetId="31">'Template names'!#REF!</definedName>
    <definedName name="_ADJ13" localSheetId="32">'Template names'!#REF!</definedName>
    <definedName name="_ADJ13" localSheetId="33">'Template names'!#REF!</definedName>
    <definedName name="_ADJ13" localSheetId="57">'Template names'!#REF!</definedName>
    <definedName name="_ADJ13">'Template names'!#REF!</definedName>
    <definedName name="_ADJ14" localSheetId="31">'Template names'!#REF!</definedName>
    <definedName name="_ADJ14" localSheetId="32">'Template names'!#REF!</definedName>
    <definedName name="_ADJ14" localSheetId="33">'Template names'!#REF!</definedName>
    <definedName name="_ADJ14" localSheetId="57">'Template names'!#REF!</definedName>
    <definedName name="_ADJ14">'Template names'!#REF!</definedName>
    <definedName name="_ADJ16" localSheetId="31">'Template names'!#REF!</definedName>
    <definedName name="_ADJ16" localSheetId="32">'Template names'!#REF!</definedName>
    <definedName name="_ADJ16" localSheetId="33">'Template names'!#REF!</definedName>
    <definedName name="_ADJ16" localSheetId="57">'Template names'!#REF!</definedName>
    <definedName name="_ADJ16">'Template names'!#REF!</definedName>
    <definedName name="_ADJ17" localSheetId="31">'Template names'!#REF!</definedName>
    <definedName name="_ADJ17" localSheetId="32">'Template names'!#REF!</definedName>
    <definedName name="_ADJ17" localSheetId="33">'Template names'!#REF!</definedName>
    <definedName name="_ADJ17" localSheetId="57">'Template names'!#REF!</definedName>
    <definedName name="_ADJ17">'Template names'!#REF!</definedName>
    <definedName name="_ADJ18" localSheetId="31">'Template names'!#REF!</definedName>
    <definedName name="_ADJ18" localSheetId="32">'Template names'!#REF!</definedName>
    <definedName name="_ADJ18" localSheetId="33">'Template names'!#REF!</definedName>
    <definedName name="_ADJ18" localSheetId="57">'Template names'!#REF!</definedName>
    <definedName name="_ADJ18">'Template names'!#REF!</definedName>
    <definedName name="_ADJ19" localSheetId="31">'Template names'!#REF!</definedName>
    <definedName name="_ADJ19" localSheetId="32">'Template names'!#REF!</definedName>
    <definedName name="_ADJ19" localSheetId="33">'Template names'!#REF!</definedName>
    <definedName name="_ADJ19" localSheetId="57">'Template names'!#REF!</definedName>
    <definedName name="_ADJ19">'Template names'!#REF!</definedName>
    <definedName name="_ADJ2" localSheetId="31">'Template names'!#REF!</definedName>
    <definedName name="_ADJ2" localSheetId="32">'Template names'!#REF!</definedName>
    <definedName name="_ADJ2" localSheetId="33">'Template names'!#REF!</definedName>
    <definedName name="_ADJ2" localSheetId="57">'Template names'!#REF!</definedName>
    <definedName name="_ADJ2">'Template names'!#REF!</definedName>
    <definedName name="_ADJ3" localSheetId="31">'Template names'!#REF!</definedName>
    <definedName name="_ADJ3" localSheetId="32">'Template names'!#REF!</definedName>
    <definedName name="_ADJ3" localSheetId="33">'Template names'!#REF!</definedName>
    <definedName name="_ADJ3" localSheetId="57">'Template names'!#REF!</definedName>
    <definedName name="_ADJ3">'Template names'!#REF!</definedName>
    <definedName name="_ADJ4" localSheetId="31">'Template names'!#REF!</definedName>
    <definedName name="_ADJ4" localSheetId="32">'Template names'!#REF!</definedName>
    <definedName name="_ADJ4" localSheetId="33">'Template names'!#REF!</definedName>
    <definedName name="_ADJ4" localSheetId="57">'Template names'!#REF!</definedName>
    <definedName name="_ADJ4">'Template names'!#REF!</definedName>
    <definedName name="_ADJ5" localSheetId="31">'Template names'!#REF!</definedName>
    <definedName name="_ADJ5" localSheetId="32">'Template names'!#REF!</definedName>
    <definedName name="_ADJ5" localSheetId="33">'Template names'!#REF!</definedName>
    <definedName name="_ADJ5" localSheetId="57">'Template names'!#REF!</definedName>
    <definedName name="_ADJ5">'Template names'!#REF!</definedName>
    <definedName name="_ADJ6" localSheetId="31">'Template names'!#REF!</definedName>
    <definedName name="_ADJ6" localSheetId="32">'Template names'!#REF!</definedName>
    <definedName name="_ADJ6" localSheetId="33">'Template names'!#REF!</definedName>
    <definedName name="_ADJ6" localSheetId="57">'Template names'!#REF!</definedName>
    <definedName name="_ADJ6">'Template names'!#REF!</definedName>
    <definedName name="_ADJ7" localSheetId="31">'Template names'!#REF!</definedName>
    <definedName name="_ADJ7" localSheetId="32">'Template names'!#REF!</definedName>
    <definedName name="_ADJ7" localSheetId="33">'Template names'!#REF!</definedName>
    <definedName name="_ADJ7" localSheetId="57">'Template names'!#REF!</definedName>
    <definedName name="_ADJ7">'Template names'!#REF!</definedName>
    <definedName name="_ADJ8" localSheetId="31">'Template names'!#REF!</definedName>
    <definedName name="_ADJ8" localSheetId="32">'Template names'!#REF!</definedName>
    <definedName name="_ADJ8" localSheetId="33">'Template names'!#REF!</definedName>
    <definedName name="_ADJ8" localSheetId="57">'Template names'!#REF!</definedName>
    <definedName name="_ADJ8">'Template names'!#REF!</definedName>
    <definedName name="_ADJ9" localSheetId="31">'Template names'!#REF!</definedName>
    <definedName name="_ADJ9" localSheetId="32">'Template names'!#REF!</definedName>
    <definedName name="_ADJ9" localSheetId="33">'Template names'!#REF!</definedName>
    <definedName name="_ADJ9" localSheetId="57">'Template names'!#REF!</definedName>
    <definedName name="_ADJ9">'Template names'!#REF!</definedName>
    <definedName name="_ccf04" localSheetId="31">#REF!</definedName>
    <definedName name="_ccf04" localSheetId="32">#REF!</definedName>
    <definedName name="_ccf04" localSheetId="33">#REF!</definedName>
    <definedName name="_ccf04" localSheetId="57">#REF!</definedName>
    <definedName name="_ccf04">#REF!</definedName>
    <definedName name="_ccf05" localSheetId="31">#REF!</definedName>
    <definedName name="_ccf05" localSheetId="32">#REF!</definedName>
    <definedName name="_ccf05" localSheetId="33">#REF!</definedName>
    <definedName name="_ccf05" localSheetId="57">#REF!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'[1]Balance Sheet'!$D$50</definedName>
    <definedName name="_cpi2">'[1]Balance Sheet'!$E$50</definedName>
    <definedName name="_cpi3">'[1]Balance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33">#REF!</definedName>
    <definedName name="_ecf04" localSheetId="57">#REF!</definedName>
    <definedName name="_ecf04">#REF!</definedName>
    <definedName name="_ecf05" localSheetId="31">#REF!</definedName>
    <definedName name="_ecf05" localSheetId="32">#REF!</definedName>
    <definedName name="_ecf05" localSheetId="33">#REF!</definedName>
    <definedName name="_ecf05" localSheetId="57">#REF!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33">#REF!</definedName>
    <definedName name="_emp04" localSheetId="57">#REF!</definedName>
    <definedName name="_emp04">#REF!</definedName>
    <definedName name="_emp05" localSheetId="31">#REF!</definedName>
    <definedName name="_emp05" localSheetId="32">#REF!</definedName>
    <definedName name="_emp05" localSheetId="33">#REF!</definedName>
    <definedName name="_emp05" localSheetId="57">#REF!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33">#REF!</definedName>
    <definedName name="_inf1" localSheetId="57">#REF!</definedName>
    <definedName name="_inf1">#REF!</definedName>
    <definedName name="_inf2" localSheetId="31">#REF!</definedName>
    <definedName name="_inf2" localSheetId="32">#REF!</definedName>
    <definedName name="_inf2" localSheetId="33">#REF!</definedName>
    <definedName name="_inf2" localSheetId="57">#REF!</definedName>
    <definedName name="_inf2">#REF!</definedName>
    <definedName name="_inf3" localSheetId="31">#REF!</definedName>
    <definedName name="_inf3" localSheetId="32">#REF!</definedName>
    <definedName name="_inf3" localSheetId="33">#REF!</definedName>
    <definedName name="_inf3" localSheetId="57">#REF!</definedName>
    <definedName name="_inf3">#REF!</definedName>
    <definedName name="_int04" localSheetId="31">#REF!</definedName>
    <definedName name="_int04" localSheetId="32">#REF!</definedName>
    <definedName name="_int04" localSheetId="33">#REF!</definedName>
    <definedName name="_int04" localSheetId="57">#REF!</definedName>
    <definedName name="_int04">#REF!</definedName>
    <definedName name="_int05" localSheetId="31">#REF!</definedName>
    <definedName name="_int05" localSheetId="32">#REF!</definedName>
    <definedName name="_int05" localSheetId="33">#REF!</definedName>
    <definedName name="_int05" localSheetId="57">#REF!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33">#REF!</definedName>
    <definedName name="_inv04" localSheetId="57">#REF!</definedName>
    <definedName name="_inv04">#REF!</definedName>
    <definedName name="_inv05" localSheetId="31">#REF!</definedName>
    <definedName name="_inv05" localSheetId="32">#REF!</definedName>
    <definedName name="_inv05" localSheetId="33">#REF!</definedName>
    <definedName name="_inv05" localSheetId="57">#REF!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33">'Template names'!#REF!</definedName>
    <definedName name="_MEB1" localSheetId="57">'Template names'!#REF!</definedName>
    <definedName name="_MEB1">'Template names'!#REF!</definedName>
    <definedName name="_MEB10" localSheetId="31">'Template names'!#REF!</definedName>
    <definedName name="_MEB10" localSheetId="32">'Template names'!#REF!</definedName>
    <definedName name="_MEB10" localSheetId="33">'Template names'!#REF!</definedName>
    <definedName name="_MEB10" localSheetId="57">'Template names'!#REF!</definedName>
    <definedName name="_MEB10">'Template names'!#REF!</definedName>
    <definedName name="_MEB11" localSheetId="31">'Template names'!#REF!</definedName>
    <definedName name="_MEB11" localSheetId="32">'Template names'!#REF!</definedName>
    <definedName name="_MEB11" localSheetId="33">'Template names'!#REF!</definedName>
    <definedName name="_MEB11" localSheetId="57">'Template names'!#REF!</definedName>
    <definedName name="_MEB11">'Template names'!#REF!</definedName>
    <definedName name="_MEB12" localSheetId="31">'Template names'!#REF!</definedName>
    <definedName name="_MEB12" localSheetId="32">'Template names'!#REF!</definedName>
    <definedName name="_MEB12" localSheetId="33">'Template names'!#REF!</definedName>
    <definedName name="_MEB12" localSheetId="57">'Template names'!#REF!</definedName>
    <definedName name="_MEB12">'Template names'!#REF!</definedName>
    <definedName name="_MEB2" localSheetId="31">'Template names'!#REF!</definedName>
    <definedName name="_MEB2" localSheetId="32">'Template names'!#REF!</definedName>
    <definedName name="_MEB2" localSheetId="33">'Template names'!#REF!</definedName>
    <definedName name="_MEB2" localSheetId="57">'Template names'!#REF!</definedName>
    <definedName name="_MEB2">'Template names'!#REF!</definedName>
    <definedName name="_MEB3" localSheetId="31">'Template names'!#REF!</definedName>
    <definedName name="_MEB3" localSheetId="32">'Template names'!#REF!</definedName>
    <definedName name="_MEB3" localSheetId="33">'Template names'!#REF!</definedName>
    <definedName name="_MEB3" localSheetId="57">'Template names'!#REF!</definedName>
    <definedName name="_MEB3">'Template names'!#REF!</definedName>
    <definedName name="_MEB4" localSheetId="31">'Template names'!#REF!</definedName>
    <definedName name="_MEB4" localSheetId="32">'Template names'!#REF!</definedName>
    <definedName name="_MEB4" localSheetId="33">'Template names'!#REF!</definedName>
    <definedName name="_MEB4" localSheetId="57">'Template names'!#REF!</definedName>
    <definedName name="_MEB4">'Template names'!#REF!</definedName>
    <definedName name="_MEB5" localSheetId="31">'Template names'!#REF!</definedName>
    <definedName name="_MEB5" localSheetId="32">'Template names'!#REF!</definedName>
    <definedName name="_MEB5" localSheetId="33">'Template names'!#REF!</definedName>
    <definedName name="_MEB5" localSheetId="57">'Template names'!#REF!</definedName>
    <definedName name="_MEB5">'Template names'!#REF!</definedName>
    <definedName name="_MEB6" localSheetId="31">'Template names'!#REF!</definedName>
    <definedName name="_MEB6" localSheetId="32">'Template names'!#REF!</definedName>
    <definedName name="_MEB6" localSheetId="33">'Template names'!#REF!</definedName>
    <definedName name="_MEB6" localSheetId="57">'Template names'!#REF!</definedName>
    <definedName name="_MEB6">'Template names'!#REF!</definedName>
    <definedName name="_MEB7" localSheetId="31">'Template names'!#REF!</definedName>
    <definedName name="_MEB7" localSheetId="32">'Template names'!#REF!</definedName>
    <definedName name="_MEB7" localSheetId="33">'Template names'!#REF!</definedName>
    <definedName name="_MEB7" localSheetId="57">'Template names'!#REF!</definedName>
    <definedName name="_MEB7">'Template names'!#REF!</definedName>
    <definedName name="_MEB8" localSheetId="31">'Template names'!#REF!</definedName>
    <definedName name="_MEB8" localSheetId="32">'Template names'!#REF!</definedName>
    <definedName name="_MEB8" localSheetId="33">'Template names'!#REF!</definedName>
    <definedName name="_MEB8" localSheetId="57">'Template names'!#REF!</definedName>
    <definedName name="_MEB8">'Template names'!#REF!</definedName>
    <definedName name="_MEB9" localSheetId="31">'Template names'!#REF!</definedName>
    <definedName name="_MEB9" localSheetId="32">'Template names'!#REF!</definedName>
    <definedName name="_MEB9" localSheetId="33">'Template names'!#REF!</definedName>
    <definedName name="_MEB9" localSheetId="57">'Template names'!#REF!</definedName>
    <definedName name="_MEB9">'Template names'!#REF!</definedName>
    <definedName name="_MER1" localSheetId="31">'Template names'!#REF!</definedName>
    <definedName name="_MER1" localSheetId="32">'Template names'!#REF!</definedName>
    <definedName name="_MER1" localSheetId="33">'Template names'!#REF!</definedName>
    <definedName name="_MER1" localSheetId="57">'Template names'!#REF!</definedName>
    <definedName name="_MER1">'Template names'!#REF!</definedName>
    <definedName name="_MER10" localSheetId="31">'Template names'!#REF!</definedName>
    <definedName name="_MER10" localSheetId="32">'Template names'!#REF!</definedName>
    <definedName name="_MER10" localSheetId="33">'Template names'!#REF!</definedName>
    <definedName name="_MER10" localSheetId="57">'Template names'!#REF!</definedName>
    <definedName name="_MER10">'Template names'!#REF!</definedName>
    <definedName name="_MER11" localSheetId="31">'Template names'!#REF!</definedName>
    <definedName name="_MER11" localSheetId="32">'Template names'!#REF!</definedName>
    <definedName name="_MER11" localSheetId="33">'Template names'!#REF!</definedName>
    <definedName name="_MER11" localSheetId="57">'Template names'!#REF!</definedName>
    <definedName name="_MER11">'Template names'!#REF!</definedName>
    <definedName name="_MER2" localSheetId="31">'Template names'!#REF!</definedName>
    <definedName name="_MER2" localSheetId="32">'Template names'!#REF!</definedName>
    <definedName name="_MER2" localSheetId="33">'Template names'!#REF!</definedName>
    <definedName name="_MER2" localSheetId="57">'Template names'!#REF!</definedName>
    <definedName name="_MER2">'Template names'!#REF!</definedName>
    <definedName name="_MER3" localSheetId="31">'Template names'!#REF!</definedName>
    <definedName name="_MER3" localSheetId="32">'Template names'!#REF!</definedName>
    <definedName name="_MER3" localSheetId="33">'Template names'!#REF!</definedName>
    <definedName name="_MER3" localSheetId="57">'Template names'!#REF!</definedName>
    <definedName name="_MER3">'Template names'!#REF!</definedName>
    <definedName name="_MER4" localSheetId="31">'Template names'!#REF!</definedName>
    <definedName name="_MER4" localSheetId="32">'Template names'!#REF!</definedName>
    <definedName name="_MER4" localSheetId="33">'Template names'!#REF!</definedName>
    <definedName name="_MER4" localSheetId="57">'Template names'!#REF!</definedName>
    <definedName name="_MER4">'Template names'!#REF!</definedName>
    <definedName name="_MER5" localSheetId="31">'Template names'!#REF!</definedName>
    <definedName name="_MER5" localSheetId="32">'Template names'!#REF!</definedName>
    <definedName name="_MER5" localSheetId="33">'Template names'!#REF!</definedName>
    <definedName name="_MER5" localSheetId="57">'Template names'!#REF!</definedName>
    <definedName name="_MER5">'Template names'!#REF!</definedName>
    <definedName name="_MER6" localSheetId="31">'Template names'!#REF!</definedName>
    <definedName name="_MER6" localSheetId="32">'Template names'!#REF!</definedName>
    <definedName name="_MER6" localSheetId="33">'Template names'!#REF!</definedName>
    <definedName name="_MER6" localSheetId="57">'Template names'!#REF!</definedName>
    <definedName name="_MER6">'Template names'!#REF!</definedName>
    <definedName name="_MER7" localSheetId="31">'Template names'!#REF!</definedName>
    <definedName name="_MER7" localSheetId="32">'Template names'!#REF!</definedName>
    <definedName name="_MER7" localSheetId="33">'Template names'!#REF!</definedName>
    <definedName name="_MER7" localSheetId="57">'Template names'!#REF!</definedName>
    <definedName name="_MER7">'Template names'!#REF!</definedName>
    <definedName name="_MER8" localSheetId="31">'Template names'!#REF!</definedName>
    <definedName name="_MER8" localSheetId="32">'Template names'!#REF!</definedName>
    <definedName name="_MER8" localSheetId="33">'Template names'!#REF!</definedName>
    <definedName name="_MER8" localSheetId="57">'Template names'!#REF!</definedName>
    <definedName name="_MER8">'Template names'!#REF!</definedName>
    <definedName name="_MER9" localSheetId="31">'Template names'!#REF!</definedName>
    <definedName name="_MER9" localSheetId="32">'Template names'!#REF!</definedName>
    <definedName name="_MER9" localSheetId="33">'Template names'!#REF!</definedName>
    <definedName name="_MER9" localSheetId="57">'Template names'!#REF!</definedName>
    <definedName name="_MER9">'Template names'!#REF!</definedName>
    <definedName name="_rat03" localSheetId="31">#REF!</definedName>
    <definedName name="_rat03" localSheetId="32">#REF!</definedName>
    <definedName name="_rat03" localSheetId="33">#REF!</definedName>
    <definedName name="_rat03" localSheetId="57">#REF!</definedName>
    <definedName name="_rat03">#REF!</definedName>
    <definedName name="_rat04" localSheetId="31">#REF!</definedName>
    <definedName name="_rat04" localSheetId="32">#REF!</definedName>
    <definedName name="_rat04" localSheetId="33">#REF!</definedName>
    <definedName name="_rat04" localSheetId="57">#REF!</definedName>
    <definedName name="_rat04">#REF!</definedName>
    <definedName name="_rat05" localSheetId="31">#REF!</definedName>
    <definedName name="_rat05" localSheetId="32">#REF!</definedName>
    <definedName name="_rat05" localSheetId="33">#REF!</definedName>
    <definedName name="_rat05" localSheetId="57">#REF!</definedName>
    <definedName name="_rat05">#REF!</definedName>
    <definedName name="_rat06" localSheetId="31">#REF!</definedName>
    <definedName name="_rat06" localSheetId="32">#REF!</definedName>
    <definedName name="_rat06" localSheetId="33">#REF!</definedName>
    <definedName name="_rat06" localSheetId="57">#REF!</definedName>
    <definedName name="_rat06">#REF!</definedName>
    <definedName name="_rat07" localSheetId="31">#REF!</definedName>
    <definedName name="_rat07" localSheetId="32">#REF!</definedName>
    <definedName name="_rat07" localSheetId="33">#REF!</definedName>
    <definedName name="_rat07" localSheetId="57">#REF!</definedName>
    <definedName name="_rat07">#REF!</definedName>
    <definedName name="_rat08" localSheetId="31">#REF!</definedName>
    <definedName name="_rat08" localSheetId="32">#REF!</definedName>
    <definedName name="_rat08" localSheetId="33">#REF!</definedName>
    <definedName name="_rat08" localSheetId="57">#REF!</definedName>
    <definedName name="_rat08">#REF!</definedName>
    <definedName name="_rat09" localSheetId="31">#REF!</definedName>
    <definedName name="_rat09" localSheetId="32">#REF!</definedName>
    <definedName name="_rat09" localSheetId="33">#REF!</definedName>
    <definedName name="_rat09" localSheetId="57">#REF!</definedName>
    <definedName name="_rat09">#REF!</definedName>
    <definedName name="_rat10" localSheetId="31">#REF!</definedName>
    <definedName name="_rat10" localSheetId="32">#REF!</definedName>
    <definedName name="_rat10" localSheetId="33">#REF!</definedName>
    <definedName name="_rat10" localSheetId="57">#REF!</definedName>
    <definedName name="_rat10">#REF!</definedName>
    <definedName name="_rat11" localSheetId="31">#REF!</definedName>
    <definedName name="_rat11" localSheetId="32">#REF!</definedName>
    <definedName name="_rat11" localSheetId="33">#REF!</definedName>
    <definedName name="_rat11" localSheetId="57">#REF!</definedName>
    <definedName name="_rat11">#REF!</definedName>
    <definedName name="_rat12" localSheetId="31">#REF!</definedName>
    <definedName name="_rat12" localSheetId="32">#REF!</definedName>
    <definedName name="_rat12" localSheetId="33">#REF!</definedName>
    <definedName name="_rat12" localSheetId="57">#REF!</definedName>
    <definedName name="_rat12">#REF!</definedName>
    <definedName name="_rat13" localSheetId="31">#REF!</definedName>
    <definedName name="_rat13" localSheetId="32">#REF!</definedName>
    <definedName name="_rat13" localSheetId="33">#REF!</definedName>
    <definedName name="_rat13" localSheetId="57">#REF!</definedName>
    <definedName name="_rat13">#REF!</definedName>
    <definedName name="_rgr05" localSheetId="31">#REF!</definedName>
    <definedName name="_rgr05" localSheetId="32">#REF!</definedName>
    <definedName name="_rgr05" localSheetId="33">#REF!</definedName>
    <definedName name="_rgr05" localSheetId="57">#REF!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33">#REF!</definedName>
    <definedName name="_rmc05" localSheetId="57">#REF!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dc05" localSheetId="31">#REF!</definedName>
    <definedName name="_sdc05" localSheetId="32">#REF!</definedName>
    <definedName name="_sdc05" localSheetId="33">#REF!</definedName>
    <definedName name="_sdc05" localSheetId="57">#REF!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33">#REF!</definedName>
    <definedName name="_wc05" localSheetId="57">#REF!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31">'Template names'!#REF!</definedName>
    <definedName name="ADJ10plus" localSheetId="32">'Template names'!#REF!</definedName>
    <definedName name="ADJ10plus" localSheetId="33">'Template names'!#REF!</definedName>
    <definedName name="ADJ10plus" localSheetId="57">'Template names'!#REF!</definedName>
    <definedName name="ADJ10plus">'Template names'!#REF!</definedName>
    <definedName name="ADJ18A" localSheetId="31">'Template names'!#REF!</definedName>
    <definedName name="ADJ18A" localSheetId="32">'Template names'!#REF!</definedName>
    <definedName name="ADJ18A" localSheetId="33">'Template names'!#REF!</definedName>
    <definedName name="ADJ18A" localSheetId="57">'Template names'!#REF!</definedName>
    <definedName name="ADJ18A">'Template names'!#REF!</definedName>
    <definedName name="ADJ18B" localSheetId="31">'Template names'!#REF!</definedName>
    <definedName name="ADJ18B" localSheetId="32">'Template names'!#REF!</definedName>
    <definedName name="ADJ18B" localSheetId="33">'Template names'!#REF!</definedName>
    <definedName name="ADJ18B" localSheetId="57">'Template names'!#REF!</definedName>
    <definedName name="ADJ18B">'Template names'!#REF!</definedName>
    <definedName name="ADJ19B" localSheetId="31">'Template names'!#REF!</definedName>
    <definedName name="ADJ19B" localSheetId="32">'Template names'!#REF!</definedName>
    <definedName name="ADJ19B" localSheetId="33">'Template names'!#REF!</definedName>
    <definedName name="ADJ19B" localSheetId="57">'Template names'!#REF!</definedName>
    <definedName name="ADJ19B">'Template names'!#REF!</definedName>
    <definedName name="ADJ8A" localSheetId="31">'Template names'!#REF!</definedName>
    <definedName name="ADJ8A" localSheetId="32">'Template names'!#REF!</definedName>
    <definedName name="ADJ8A" localSheetId="33">'Template names'!#REF!</definedName>
    <definedName name="ADJ8A" localSheetId="57">'Template names'!#REF!</definedName>
    <definedName name="ADJ8A">'Template names'!#REF!</definedName>
    <definedName name="ADJ8B" localSheetId="31">'Template names'!#REF!</definedName>
    <definedName name="ADJ8B" localSheetId="32">'Template names'!#REF!</definedName>
    <definedName name="ADJ8B" localSheetId="33">'Template names'!#REF!</definedName>
    <definedName name="ADJ8B" localSheetId="57">'Template names'!#REF!</definedName>
    <definedName name="ADJ8B">'Template names'!#REF!</definedName>
    <definedName name="ADJP1" localSheetId="31">'Template names'!#REF!</definedName>
    <definedName name="ADJP1" localSheetId="32">'Template names'!#REF!</definedName>
    <definedName name="ADJP1" localSheetId="33">'Template names'!#REF!</definedName>
    <definedName name="ADJP1" localSheetId="57">'Template names'!#REF!</definedName>
    <definedName name="ADJP1">'Template names'!#REF!</definedName>
    <definedName name="adjsum" localSheetId="31">'Template names'!#REF!</definedName>
    <definedName name="adjsum" localSheetId="32">'Template names'!#REF!</definedName>
    <definedName name="adjsum" localSheetId="33">'Template names'!#REF!</definedName>
    <definedName name="adjsum" localSheetId="57">'Template names'!#REF!</definedName>
    <definedName name="adjsum">'Template names'!#REF!</definedName>
    <definedName name="ADJTB1" localSheetId="31">'Template names'!#REF!</definedName>
    <definedName name="ADJTB1" localSheetId="32">'Template names'!#REF!</definedName>
    <definedName name="ADJTB1" localSheetId="33">'Template names'!#REF!</definedName>
    <definedName name="ADJTB1" localSheetId="57">'Template names'!#REF!</definedName>
    <definedName name="ADJTB1">'Template names'!#REF!</definedName>
    <definedName name="ADJXX" localSheetId="31">'Template names'!#REF!</definedName>
    <definedName name="ADJXX" localSheetId="32">'Template names'!#REF!</definedName>
    <definedName name="ADJXX" localSheetId="33">'Template names'!#REF!</definedName>
    <definedName name="ADJXX" localSheetId="57">'Template names'!#REF!</definedName>
    <definedName name="ADJXX">'Template names'!#REF!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33">#REF!</definedName>
    <definedName name="balloon" localSheetId="57">#REF!</definedName>
    <definedName name="balloon">#REF!</definedName>
    <definedName name="basedesc">'Template names'!$D$39:$D$39</definedName>
    <definedName name="baseindex">'Template names'!$B$88:$B$89</definedName>
    <definedName name="Bus" localSheetId="31">#REF!</definedName>
    <definedName name="Bus" localSheetId="32">#REF!</definedName>
    <definedName name="Bus" localSheetId="33">#REF!</definedName>
    <definedName name="Bus" localSheetId="57">#REF!</definedName>
    <definedName name="Bus">#REF!</definedName>
    <definedName name="capexfactor" localSheetId="31">#REF!</definedName>
    <definedName name="capexfactor" localSheetId="32">#REF!</definedName>
    <definedName name="capexfactor" localSheetId="33">#REF!</definedName>
    <definedName name="capexfactor" localSheetId="57">#REF!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33">#REF!</definedName>
    <definedName name="capexrate04" localSheetId="57">#REF!</definedName>
    <definedName name="capexrate04">#REF!</definedName>
    <definedName name="capexrate05" localSheetId="31">#REF!</definedName>
    <definedName name="capexrate05" localSheetId="32">#REF!</definedName>
    <definedName name="capexrate05" localSheetId="33">#REF!</definedName>
    <definedName name="capexrate05" localSheetId="57">#REF!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names'!$B$155</definedName>
    <definedName name="ChartA10">'Template names'!$B$164</definedName>
    <definedName name="ChartA11">'Template names'!$B$165</definedName>
    <definedName name="ChartA12">'Template names'!$B$166</definedName>
    <definedName name="ChartA13">'Template names'!$B$167</definedName>
    <definedName name="ChartA2">'Template names'!$B$156</definedName>
    <definedName name="ChartA3">'Template names'!$B$157</definedName>
    <definedName name="ChartA4">'Template names'!$B$158</definedName>
    <definedName name="ChartA5">'Template names'!$B$159</definedName>
    <definedName name="ChartA6">'Template names'!$B$160</definedName>
    <definedName name="ChartA7">'Template names'!$B$161</definedName>
    <definedName name="ChartA8">'Template names'!$B$162</definedName>
    <definedName name="ChartA9">'Template names'!$B$163</definedName>
    <definedName name="choosebase">'Template names'!$B$89:$B$90</definedName>
    <definedName name="Consolques">'Template names'!$A$95</definedName>
    <definedName name="cpix04" localSheetId="31">#REF!</definedName>
    <definedName name="cpix04" localSheetId="32">#REF!</definedName>
    <definedName name="cpix04" localSheetId="33">#REF!</definedName>
    <definedName name="cpix04" localSheetId="57">#REF!</definedName>
    <definedName name="cpix04">#REF!</definedName>
    <definedName name="cpix05" localSheetId="31">#REF!</definedName>
    <definedName name="cpix05" localSheetId="32">#REF!</definedName>
    <definedName name="cpix05" localSheetId="33">#REF!</definedName>
    <definedName name="cpix05" localSheetId="57">#REF!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33">#REF!</definedName>
    <definedName name="credit06" localSheetId="57">#REF!</definedName>
    <definedName name="credit06">#REF!</definedName>
    <definedName name="date">[2]Data!$B$2</definedName>
    <definedName name="debt03" localSheetId="31">#REF!</definedName>
    <definedName name="debt03" localSheetId="32">#REF!</definedName>
    <definedName name="debt03" localSheetId="33">#REF!</definedName>
    <definedName name="debt03" localSheetId="57">#REF!</definedName>
    <definedName name="debt03">#REF!</definedName>
    <definedName name="debt04" localSheetId="31">#REF!</definedName>
    <definedName name="debt04" localSheetId="32">#REF!</definedName>
    <definedName name="debt04" localSheetId="33">#REF!</definedName>
    <definedName name="debt04" localSheetId="57">#REF!</definedName>
    <definedName name="debt04">#REF!</definedName>
    <definedName name="debt05" localSheetId="31">#REF!</definedName>
    <definedName name="debt05" localSheetId="32">#REF!</definedName>
    <definedName name="debt05" localSheetId="33">#REF!</definedName>
    <definedName name="debt05" localSheetId="57">#REF!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33">#REF!</definedName>
    <definedName name="debtrev04" localSheetId="57">#REF!</definedName>
    <definedName name="debtrev04">#REF!</definedName>
    <definedName name="debtrev05" localSheetId="31">#REF!</definedName>
    <definedName name="debtrev05" localSheetId="32">#REF!</definedName>
    <definedName name="debtrev05" localSheetId="33">#REF!</definedName>
    <definedName name="debtrev05" localSheetId="57">#REF!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33">#REF!</definedName>
    <definedName name="ecchoice" localSheetId="57">#REF!</definedName>
    <definedName name="ecchoice">#REF!</definedName>
    <definedName name="elec05" localSheetId="31">#REF!</definedName>
    <definedName name="elec05" localSheetId="32">#REF!</definedName>
    <definedName name="elec05" localSheetId="33">#REF!</definedName>
    <definedName name="elec05" localSheetId="57">#REF!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33">#REF!</definedName>
    <definedName name="eskom07" localSheetId="57">#REF!</definedName>
    <definedName name="eskom07">#REF!</definedName>
    <definedName name="FinYear">Instructions!$X$36</definedName>
    <definedName name="finyears" localSheetId="31">#REF!</definedName>
    <definedName name="finyears" localSheetId="32">#REF!</definedName>
    <definedName name="finyears" localSheetId="33">#REF!</definedName>
    <definedName name="finyears" localSheetId="57">#REF!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33">#REF!</definedName>
    <definedName name="hhgr05" localSheetId="57">#REF!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33">#REF!</definedName>
    <definedName name="incentive" localSheetId="57">#REF!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33">#REF!</definedName>
    <definedName name="inventory" localSheetId="57">#REF!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33">#REF!</definedName>
    <definedName name="longterm" localSheetId="57">#REF!</definedName>
    <definedName name="longterm">#REF!</definedName>
    <definedName name="MEAB1" localSheetId="31">'Template names'!#REF!</definedName>
    <definedName name="MEAB1" localSheetId="32">'Template names'!#REF!</definedName>
    <definedName name="MEAB1" localSheetId="33">'Template names'!#REF!</definedName>
    <definedName name="MEAB1" localSheetId="57">'Template names'!#REF!</definedName>
    <definedName name="MEAB1">'Template names'!#REF!</definedName>
    <definedName name="MEAB10" localSheetId="31">'Template names'!#REF!</definedName>
    <definedName name="MEAB10" localSheetId="32">'Template names'!#REF!</definedName>
    <definedName name="MEAB10" localSheetId="33">'Template names'!#REF!</definedName>
    <definedName name="MEAB10" localSheetId="57">'Template names'!#REF!</definedName>
    <definedName name="MEAB10">'Template names'!#REF!</definedName>
    <definedName name="MEAB11" localSheetId="31">'Template names'!#REF!</definedName>
    <definedName name="MEAB11" localSheetId="32">'Template names'!#REF!</definedName>
    <definedName name="MEAB11" localSheetId="33">'Template names'!#REF!</definedName>
    <definedName name="MEAB11" localSheetId="57">'Template names'!#REF!</definedName>
    <definedName name="MEAB11">'Template names'!#REF!</definedName>
    <definedName name="MEAB2" localSheetId="31">'Template names'!#REF!</definedName>
    <definedName name="MEAB2" localSheetId="32">'Template names'!#REF!</definedName>
    <definedName name="MEAB2" localSheetId="33">'Template names'!#REF!</definedName>
    <definedName name="MEAB2" localSheetId="57">'Template names'!#REF!</definedName>
    <definedName name="MEAB2">'Template names'!#REF!</definedName>
    <definedName name="MEAB3" localSheetId="31">'Template names'!#REF!</definedName>
    <definedName name="MEAB3" localSheetId="32">'Template names'!#REF!</definedName>
    <definedName name="MEAB3" localSheetId="33">'Template names'!#REF!</definedName>
    <definedName name="MEAB3" localSheetId="57">'Template names'!#REF!</definedName>
    <definedName name="MEAB3">'Template names'!#REF!</definedName>
    <definedName name="MEAB4" localSheetId="31">'Template names'!#REF!</definedName>
    <definedName name="MEAB4" localSheetId="32">'Template names'!#REF!</definedName>
    <definedName name="MEAB4" localSheetId="33">'Template names'!#REF!</definedName>
    <definedName name="MEAB4" localSheetId="57">'Template names'!#REF!</definedName>
    <definedName name="MEAB4">'Template names'!#REF!</definedName>
    <definedName name="MEAB5" localSheetId="31">'Template names'!#REF!</definedName>
    <definedName name="MEAB5" localSheetId="32">'Template names'!#REF!</definedName>
    <definedName name="MEAB5" localSheetId="33">'Template names'!#REF!</definedName>
    <definedName name="MEAB5" localSheetId="57">'Template names'!#REF!</definedName>
    <definedName name="MEAB5">'Template names'!#REF!</definedName>
    <definedName name="MEAB6" localSheetId="31">'Template names'!#REF!</definedName>
    <definedName name="MEAB6" localSheetId="32">'Template names'!#REF!</definedName>
    <definedName name="MEAB6" localSheetId="33">'Template names'!#REF!</definedName>
    <definedName name="MEAB6" localSheetId="57">'Template names'!#REF!</definedName>
    <definedName name="MEAB6">'Template names'!#REF!</definedName>
    <definedName name="MEAB7" localSheetId="31">'Template names'!#REF!</definedName>
    <definedName name="MEAB7" localSheetId="32">'Template names'!#REF!</definedName>
    <definedName name="MEAB7" localSheetId="33">'Template names'!#REF!</definedName>
    <definedName name="MEAB7" localSheetId="57">'Template names'!#REF!</definedName>
    <definedName name="MEAB7">'Template names'!#REF!</definedName>
    <definedName name="MEAB8" localSheetId="31">'Template names'!#REF!</definedName>
    <definedName name="MEAB8" localSheetId="32">'Template names'!#REF!</definedName>
    <definedName name="MEAB8" localSheetId="33">'Template names'!#REF!</definedName>
    <definedName name="MEAB8" localSheetId="57">'Template names'!#REF!</definedName>
    <definedName name="MEAB8">'Template names'!#REF!</definedName>
    <definedName name="MEAB9" localSheetId="31">'Template names'!#REF!</definedName>
    <definedName name="MEAB9" localSheetId="32">'Template names'!#REF!</definedName>
    <definedName name="MEAB9" localSheetId="33">'Template names'!#REF!</definedName>
    <definedName name="MEAB9" localSheetId="57">'Template names'!#REF!</definedName>
    <definedName name="MEAB9">'Template names'!#REF!</definedName>
    <definedName name="MEABsum" localSheetId="31">'Template names'!#REF!</definedName>
    <definedName name="MEABsum" localSheetId="32">'Template names'!#REF!</definedName>
    <definedName name="MEABsum" localSheetId="33">'Template names'!#REF!</definedName>
    <definedName name="MEABsum" localSheetId="57">'Template names'!#REF!</definedName>
    <definedName name="MEABsum">'Template names'!#REF!</definedName>
    <definedName name="MEB1A" localSheetId="31">'Template names'!#REF!</definedName>
    <definedName name="MEB1A" localSheetId="32">'Template names'!#REF!</definedName>
    <definedName name="MEB1A" localSheetId="33">'Template names'!#REF!</definedName>
    <definedName name="MEB1A" localSheetId="57">'Template names'!#REF!</definedName>
    <definedName name="MEB1A">'Template names'!#REF!</definedName>
    <definedName name="MEBsum" localSheetId="31">'Template names'!#REF!</definedName>
    <definedName name="MEBsum" localSheetId="32">'Template names'!#REF!</definedName>
    <definedName name="MEBsum" localSheetId="33">'Template names'!#REF!</definedName>
    <definedName name="MEBsum" localSheetId="57">'Template names'!#REF!</definedName>
    <definedName name="MEBsum">'Template names'!#REF!</definedName>
    <definedName name="MERsum" localSheetId="31">'Template names'!#REF!</definedName>
    <definedName name="MERsum" localSheetId="32">'Template names'!#REF!</definedName>
    <definedName name="MERsum" localSheetId="33">'Template names'!#REF!</definedName>
    <definedName name="MERsum" localSheetId="57">'Template names'!#REF!</definedName>
    <definedName name="MERsum">'Template names'!#REF!</definedName>
    <definedName name="month">[2]Data!$B$1</definedName>
    <definedName name="MTREF">Instructions!$X$34</definedName>
    <definedName name="muni">'Template names'!$B$93</definedName>
    <definedName name="MuniEntities">'Template names'!$B$94</definedName>
    <definedName name="MuniType">'Template names'!$D$94</definedName>
    <definedName name="nersa07" localSheetId="31">#REF!</definedName>
    <definedName name="nersa07" localSheetId="32">#REF!</definedName>
    <definedName name="nersa07" localSheetId="33">#REF!</definedName>
    <definedName name="nersa07" localSheetId="57">#REF!</definedName>
    <definedName name="nersa07">#REF!</definedName>
    <definedName name="nersa08" localSheetId="31">#REF!</definedName>
    <definedName name="nersa08" localSheetId="32">#REF!</definedName>
    <definedName name="nersa08" localSheetId="33">#REF!</definedName>
    <definedName name="nersa08" localSheetId="57">#REF!</definedName>
    <definedName name="nersa08">#REF!</definedName>
    <definedName name="nethhgr05" localSheetId="31">#REF!</definedName>
    <definedName name="nethhgr05" localSheetId="32">#REF!</definedName>
    <definedName name="nethhgr05" localSheetId="33">#REF!</definedName>
    <definedName name="nethhgr05" localSheetId="57">#REF!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[3]Names!$B$89</definedName>
    <definedName name="Orgstructurevotes">'Org structure'!$C$2</definedName>
    <definedName name="poorgr06">#REF!</definedName>
    <definedName name="_xlnm.Print_Area" localSheetId="18">'A10-SerDel'!$A$1:$K$87</definedName>
    <definedName name="_xlnm.Print_Area" localSheetId="6">'A1-Sum'!$A$1:$K$66</definedName>
    <definedName name="_xlnm.Print_Area" localSheetId="7">'A2-FinPerf SC'!$A$1:$K$54</definedName>
    <definedName name="_xlnm.Print_Area" localSheetId="10">A3A!$A$1:$K$713</definedName>
    <definedName name="_xlnm.Print_Area" localSheetId="9">'A3-FinPerf V'!$A$1:$K$43</definedName>
    <definedName name="_xlnm.Print_Area" localSheetId="11">'A4-FinPerf RE'!$A$1:$X$56</definedName>
    <definedName name="_xlnm.Print_Area" localSheetId="13">A5A!$A$1:$L$171</definedName>
    <definedName name="_xlnm.Print_Area" localSheetId="12">'A5-Capex'!$A$1:$L$84</definedName>
    <definedName name="_xlnm.Print_Area" localSheetId="14">'A6-FinPos'!$A$1:$L$54</definedName>
    <definedName name="_xlnm.Print_Area" localSheetId="15">'A7-CFlow'!$A$1:$L$43</definedName>
    <definedName name="_xlnm.Print_Area" localSheetId="16">'A8-ResRecon'!$A$1:$L$25</definedName>
    <definedName name="_xlnm.Print_Area" localSheetId="17">'A9-Asset'!$A$1:$K$93</definedName>
    <definedName name="_xlnm.Print_Area" localSheetId="5">Contacts!$A$1:$D$72</definedName>
    <definedName name="_xlnm.Print_Area" localSheetId="1">Instructions!$A$1:$M$47</definedName>
    <definedName name="_xlnm.Print_Area" localSheetId="61">NERF!$A$1:$M$68</definedName>
    <definedName name="_xlnm.Print_Area" localSheetId="19">'SA1'!$A$1:$L$172</definedName>
    <definedName name="_xlnm.Print_Area" localSheetId="28">'SA10'!$A$1:$M$34</definedName>
    <definedName name="_xlnm.Print_Area" localSheetId="29">'SA11'!$A$1:$K$73</definedName>
    <definedName name="_xlnm.Print_Area" localSheetId="30">SA12a!$A$1:$R$110</definedName>
    <definedName name="_xlnm.Print_Area" localSheetId="31">SA12b!$A$1:$R$110</definedName>
    <definedName name="_xlnm.Print_Area" localSheetId="32">SA13a!$A$1:$R$130</definedName>
    <definedName name="_xlnm.Print_Area" localSheetId="33">SA13b!$A$1:$R$131</definedName>
    <definedName name="_xlnm.Print_Area" localSheetId="34">'SA14'!$A$1:$L$53</definedName>
    <definedName name="_xlnm.Print_Area" localSheetId="35">'SA15'!$A$1:$K$35</definedName>
    <definedName name="_xlnm.Print_Area" localSheetId="36">'SA16'!$A$1:$J$28</definedName>
    <definedName name="_xlnm.Print_Area" localSheetId="37">'SA17'!$A$1:$K$70</definedName>
    <definedName name="_xlnm.Print_Area" localSheetId="38">'SA18'!$A$1:$K$53</definedName>
    <definedName name="_xlnm.Print_Area" localSheetId="39">'SA19'!$A$1:$K$49</definedName>
    <definedName name="_xlnm.Print_Area" localSheetId="20">'SA2'!$A$1:$R$44</definedName>
    <definedName name="_xlnm.Print_Area" localSheetId="40">'SA20'!$A$1:$K$58</definedName>
    <definedName name="_xlnm.Print_Area" localSheetId="41">'SA21'!$A$1:$L$73</definedName>
    <definedName name="_xlnm.Print_Area" localSheetId="42">'SA22'!$A$1:$K$120</definedName>
    <definedName name="_xlnm.Print_Area" localSheetId="43">'SA23'!$A$1:$I$70</definedName>
    <definedName name="_xlnm.Print_Area" localSheetId="44">'SA24'!$A$1:$K$51</definedName>
    <definedName name="_xlnm.Print_Area" localSheetId="45">'SA25'!$A$1:$Q$48</definedName>
    <definedName name="_xlnm.Print_Area" localSheetId="46">'SA26'!$A$1:$Q$47</definedName>
    <definedName name="_xlnm.Print_Area" localSheetId="47">'SA27'!$A$1:$Q$55</definedName>
    <definedName name="_xlnm.Print_Area" localSheetId="48">'SA28'!$A$1:$Q$44</definedName>
    <definedName name="_xlnm.Print_Area" localSheetId="49">'SA29'!$A$1:$Q$29</definedName>
    <definedName name="_xlnm.Print_Area" localSheetId="21">'SA3'!$A$1:$L$75</definedName>
    <definedName name="_xlnm.Print_Area" localSheetId="50">'SA30'!$A$1:$P$56</definedName>
    <definedName name="_xlnm.Print_Area" localSheetId="51">'SA31'!$A$1:$K$42</definedName>
    <definedName name="_xlnm.Print_Area" localSheetId="52">'SA32'!$A$1:$F$27</definedName>
    <definedName name="_xlnm.Print_Area" localSheetId="53">'SA33'!$A$1:$O$47</definedName>
    <definedName name="_xlnm.Print_Area" localSheetId="54">SA34a!$A$1:$K$90</definedName>
    <definedName name="_xlnm.Print_Area" localSheetId="58">'SA35'!$A$1:$I$58</definedName>
    <definedName name="_xlnm.Print_Area" localSheetId="59">'SA36'!$A$1:$Q$169</definedName>
    <definedName name="_xlnm.Print_Area" localSheetId="60">'SA37'!$A$1:$M$37</definedName>
    <definedName name="_xlnm.Print_Area" localSheetId="22">'SA4'!$A$1:$M$24</definedName>
    <definedName name="_xlnm.Print_Area" localSheetId="23">'SA5'!$A$1:$M$25</definedName>
    <definedName name="_xlnm.Print_Area" localSheetId="24">'SA6'!$A$1:$M$24</definedName>
    <definedName name="_xlnm.Print_Area" localSheetId="25">'SA7'!$A$1:$K$89</definedName>
    <definedName name="_xlnm.Print_Area" localSheetId="26">'SA8'!$A$1:$L$42</definedName>
    <definedName name="_xlnm.Print_Area" localSheetId="27">'SA9'!$A$1:$L$68</definedName>
    <definedName name="_xlnm.Print_Titles" localSheetId="10">A3A!$1:$3</definedName>
    <definedName name="_xlnm.Print_Titles" localSheetId="9">'A3-FinPerf V'!$1:$3</definedName>
    <definedName name="_xlnm.Print_Titles" localSheetId="12">'A5-Capex'!$1:$3</definedName>
    <definedName name="proptax07">#REF!</definedName>
    <definedName name="Rand000" localSheetId="31">#REF!</definedName>
    <definedName name="Rand000" localSheetId="32">#REF!</definedName>
    <definedName name="Rand000" localSheetId="33">#REF!</definedName>
    <definedName name="Rand000" localSheetId="57">#REF!</definedName>
    <definedName name="Rand000">#REF!</definedName>
    <definedName name="RandM">'Template names'!$B$70</definedName>
    <definedName name="REDHHGR06" localSheetId="31">#REF!</definedName>
    <definedName name="REDHHGR06" localSheetId="32">#REF!</definedName>
    <definedName name="REDHHGR06" localSheetId="33">#REF!</definedName>
    <definedName name="REDHHGR06" localSheetId="57">#REF!</definedName>
    <definedName name="REDHHGR06">#REF!</definedName>
    <definedName name="redhhgr07" localSheetId="31">#REF!</definedName>
    <definedName name="redhhgr07" localSheetId="32">#REF!</definedName>
    <definedName name="redhhgr07" localSheetId="33">#REF!</definedName>
    <definedName name="redhhgr07" localSheetId="57">#REF!</definedName>
    <definedName name="redhhgr07">#REF!</definedName>
    <definedName name="redrev06" localSheetId="31">#REF!</definedName>
    <definedName name="redrev06" localSheetId="32">#REF!</definedName>
    <definedName name="redrev06" localSheetId="33">#REF!</definedName>
    <definedName name="redrev06" localSheetId="57">#REF!</definedName>
    <definedName name="redrev06">#REF!</definedName>
    <definedName name="redrev07" localSheetId="31">#REF!</definedName>
    <definedName name="redrev07" localSheetId="32">#REF!</definedName>
    <definedName name="redrev07" localSheetId="33">#REF!</definedName>
    <definedName name="redrev07" localSheetId="57">#REF!</definedName>
    <definedName name="redrev07">#REF!</definedName>
    <definedName name="Reds" localSheetId="31">#REF!</definedName>
    <definedName name="Reds" localSheetId="32">#REF!</definedName>
    <definedName name="Reds" localSheetId="33">#REF!</definedName>
    <definedName name="Reds" localSheetId="57">#REF!</definedName>
    <definedName name="Reds">#REF!</definedName>
    <definedName name="renewyears">#REF!</definedName>
    <definedName name="Request0506" localSheetId="31">#REF!</definedName>
    <definedName name="Request0506" localSheetId="32">#REF!</definedName>
    <definedName name="Request0506" localSheetId="33">#REF!</definedName>
    <definedName name="Request0506" localSheetId="57">#REF!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33">#REF!</definedName>
    <definedName name="rmcRED06" localSheetId="57">#REF!</definedName>
    <definedName name="rmcRED06">#REF!</definedName>
    <definedName name="rmcred07" localSheetId="31">#REF!</definedName>
    <definedName name="rmcred07" localSheetId="32">#REF!</definedName>
    <definedName name="rmcred07" localSheetId="33">#REF!</definedName>
    <definedName name="rmcred07" localSheetId="57">#REF!</definedName>
    <definedName name="rmcred07">#REF!</definedName>
    <definedName name="roundfactor" localSheetId="31">#REF!</definedName>
    <definedName name="roundfactor" localSheetId="32">#REF!</definedName>
    <definedName name="roundfactor" localSheetId="33">#REF!</definedName>
    <definedName name="roundfactor" localSheetId="57">#REF!</definedName>
    <definedName name="roundfactor">#REF!</definedName>
    <definedName name="S71A" localSheetId="31">'Template names'!#REF!</definedName>
    <definedName name="S71A" localSheetId="32">'Template names'!#REF!</definedName>
    <definedName name="S71A" localSheetId="33">'Template names'!#REF!</definedName>
    <definedName name="S71A" localSheetId="57">'Template names'!#REF!</definedName>
    <definedName name="S71A">'Template names'!#REF!</definedName>
    <definedName name="S71B" localSheetId="31">'Template names'!#REF!</definedName>
    <definedName name="S71B" localSheetId="32">'Template names'!#REF!</definedName>
    <definedName name="S71B" localSheetId="33">'Template names'!#REF!</definedName>
    <definedName name="S71B" localSheetId="57">'Template names'!#REF!</definedName>
    <definedName name="S71B">'Template names'!#REF!</definedName>
    <definedName name="s71B8" localSheetId="31">'Template names'!#REF!</definedName>
    <definedName name="s71B8" localSheetId="32">'Template names'!#REF!</definedName>
    <definedName name="s71B8" localSheetId="33">'Template names'!#REF!</definedName>
    <definedName name="s71B8" localSheetId="57">'Template names'!#REF!</definedName>
    <definedName name="s71B8">'Template names'!#REF!</definedName>
    <definedName name="s71B9" localSheetId="31">'Template names'!#REF!</definedName>
    <definedName name="s71B9" localSheetId="32">'Template names'!#REF!</definedName>
    <definedName name="s71B9" localSheetId="33">'Template names'!#REF!</definedName>
    <definedName name="s71B9" localSheetId="57">'Template names'!#REF!</definedName>
    <definedName name="s71B9">'Template names'!#REF!</definedName>
    <definedName name="S71C" localSheetId="31">'Template names'!#REF!</definedName>
    <definedName name="S71C" localSheetId="32">'Template names'!#REF!</definedName>
    <definedName name="S71C" localSheetId="33">'Template names'!#REF!</definedName>
    <definedName name="S71C" localSheetId="57">'Template names'!#REF!</definedName>
    <definedName name="S71C">'Template names'!#REF!</definedName>
    <definedName name="S71D" localSheetId="31">'Template names'!#REF!</definedName>
    <definedName name="S71D" localSheetId="32">'Template names'!#REF!</definedName>
    <definedName name="S71D" localSheetId="33">'Template names'!#REF!</definedName>
    <definedName name="S71D" localSheetId="57">'Template names'!#REF!</definedName>
    <definedName name="S71D">'Template names'!#REF!</definedName>
    <definedName name="S71E" localSheetId="31">'Template names'!#REF!</definedName>
    <definedName name="S71E" localSheetId="32">'Template names'!#REF!</definedName>
    <definedName name="S71E" localSheetId="33">'Template names'!#REF!</definedName>
    <definedName name="S71E" localSheetId="57">'Template names'!#REF!</definedName>
    <definedName name="S71E">'Template names'!#REF!</definedName>
    <definedName name="S71F" localSheetId="31">'Template names'!#REF!</definedName>
    <definedName name="S71F" localSheetId="32">'Template names'!#REF!</definedName>
    <definedName name="S71F" localSheetId="33">'Template names'!#REF!</definedName>
    <definedName name="S71F" localSheetId="57">'Template names'!#REF!</definedName>
    <definedName name="S71F">'Template names'!#REF!</definedName>
    <definedName name="S71G" localSheetId="31">'Template names'!#REF!</definedName>
    <definedName name="S71G" localSheetId="32">'Template names'!#REF!</definedName>
    <definedName name="S71G" localSheetId="33">'Template names'!#REF!</definedName>
    <definedName name="S71G" localSheetId="57">'Template names'!#REF!</definedName>
    <definedName name="S71G">'Template names'!#REF!</definedName>
    <definedName name="S71H" localSheetId="31">'Template names'!#REF!</definedName>
    <definedName name="S71H" localSheetId="32">'Template names'!#REF!</definedName>
    <definedName name="S71H" localSheetId="33">'Template names'!#REF!</definedName>
    <definedName name="S71H" localSheetId="57">'Template names'!#REF!</definedName>
    <definedName name="S71H">'Template names'!#REF!</definedName>
    <definedName name="S71I" localSheetId="31">'Template names'!#REF!</definedName>
    <definedName name="S71I" localSheetId="32">'Template names'!#REF!</definedName>
    <definedName name="S71I" localSheetId="33">'Template names'!#REF!</definedName>
    <definedName name="S71I" localSheetId="57">'Template names'!#REF!</definedName>
    <definedName name="S71I">'Template names'!#REF!</definedName>
    <definedName name="S71J" localSheetId="31">'Template names'!#REF!</definedName>
    <definedName name="S71J" localSheetId="32">'Template names'!#REF!</definedName>
    <definedName name="S71J" localSheetId="33">'Template names'!#REF!</definedName>
    <definedName name="S71J" localSheetId="57">'Template names'!#REF!</definedName>
    <definedName name="S71J">'Template names'!#REF!</definedName>
    <definedName name="S71K" localSheetId="31">'Template names'!#REF!</definedName>
    <definedName name="S71K" localSheetId="32">'Template names'!#REF!</definedName>
    <definedName name="S71K" localSheetId="33">'Template names'!#REF!</definedName>
    <definedName name="S71K" localSheetId="57">'Template names'!#REF!</definedName>
    <definedName name="S71K">'Template names'!#REF!</definedName>
    <definedName name="S71L" localSheetId="31">'Template names'!#REF!</definedName>
    <definedName name="S71L" localSheetId="32">'Template names'!#REF!</definedName>
    <definedName name="S71L" localSheetId="33">'Template names'!#REF!</definedName>
    <definedName name="S71L" localSheetId="57">'Template names'!#REF!</definedName>
    <definedName name="S71L">'Template names'!#REF!</definedName>
    <definedName name="S71M" localSheetId="31">'Template names'!#REF!</definedName>
    <definedName name="S71M" localSheetId="32">'Template names'!#REF!</definedName>
    <definedName name="S71M" localSheetId="33">'Template names'!#REF!</definedName>
    <definedName name="S71M" localSheetId="57">'Template names'!#REF!</definedName>
    <definedName name="S71M">'Template names'!#REF!</definedName>
    <definedName name="S71N" localSheetId="31">'Template names'!#REF!</definedName>
    <definedName name="S71N" localSheetId="32">'Template names'!#REF!</definedName>
    <definedName name="S71N" localSheetId="33">'Template names'!#REF!</definedName>
    <definedName name="S71N" localSheetId="57">'Template names'!#REF!</definedName>
    <definedName name="S71N">'Template names'!#REF!</definedName>
    <definedName name="S71O" localSheetId="31">'Template names'!#REF!</definedName>
    <definedName name="S71O" localSheetId="32">'Template names'!#REF!</definedName>
    <definedName name="S71O" localSheetId="33">'Template names'!#REF!</definedName>
    <definedName name="S71O" localSheetId="57">'Template names'!#REF!</definedName>
    <definedName name="S71O">'Template names'!#REF!</definedName>
    <definedName name="S71P" localSheetId="31">'Template names'!#REF!</definedName>
    <definedName name="S71P" localSheetId="32">'Template names'!#REF!</definedName>
    <definedName name="S71P" localSheetId="33">'Template names'!#REF!</definedName>
    <definedName name="S71P" localSheetId="57">'Template names'!#REF!</definedName>
    <definedName name="S71P">'Template names'!#REF!</definedName>
    <definedName name="S71Q" localSheetId="31">'Template names'!#REF!</definedName>
    <definedName name="S71Q" localSheetId="32">'Template names'!#REF!</definedName>
    <definedName name="S71Q" localSheetId="33">'Template names'!#REF!</definedName>
    <definedName name="S71Q" localSheetId="57">'Template names'!#REF!</definedName>
    <definedName name="S71Q">'Template names'!#REF!</definedName>
    <definedName name="S71SDBIP" localSheetId="31">'Template names'!#REF!</definedName>
    <definedName name="S71SDBIP" localSheetId="32">'Template names'!#REF!</definedName>
    <definedName name="S71SDBIP" localSheetId="33">'Template names'!#REF!</definedName>
    <definedName name="S71SDBIP" localSheetId="57">'Template names'!#REF!</definedName>
    <definedName name="S71SDBIP">'Template names'!#REF!</definedName>
    <definedName name="s71sum" localSheetId="31">'Template names'!#REF!</definedName>
    <definedName name="s71sum" localSheetId="32">'Template names'!#REF!</definedName>
    <definedName name="s71sum" localSheetId="33">'Template names'!#REF!</definedName>
    <definedName name="s71sum" localSheetId="57">'Template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33">#REF!</definedName>
    <definedName name="scenario" localSheetId="57">#REF!</definedName>
    <definedName name="scenario">#REF!</definedName>
    <definedName name="SDBIP1" localSheetId="31">'Template names'!#REF!</definedName>
    <definedName name="SDBIP1" localSheetId="32">'Template names'!#REF!</definedName>
    <definedName name="SDBIP1" localSheetId="33">'Template names'!#REF!</definedName>
    <definedName name="SDBIP1" localSheetId="57">'Template names'!#REF!</definedName>
    <definedName name="SDBIP1">'Template names'!#REF!</definedName>
    <definedName name="SDBIP10" localSheetId="31">'Template names'!#REF!</definedName>
    <definedName name="SDBIP10" localSheetId="32">'Template names'!#REF!</definedName>
    <definedName name="SDBIP10" localSheetId="33">'Template names'!#REF!</definedName>
    <definedName name="SDBIP10" localSheetId="57">'Template names'!#REF!</definedName>
    <definedName name="SDBIP10">'Template names'!#REF!</definedName>
    <definedName name="SDBIP2" localSheetId="31">'Template names'!#REF!</definedName>
    <definedName name="SDBIP2" localSheetId="32">'Template names'!#REF!</definedName>
    <definedName name="SDBIP2" localSheetId="33">'Template names'!#REF!</definedName>
    <definedName name="SDBIP2" localSheetId="57">'Template names'!#REF!</definedName>
    <definedName name="SDBIP2">'Template names'!#REF!</definedName>
    <definedName name="SDBIP3" localSheetId="31">'Template names'!#REF!</definedName>
    <definedName name="SDBIP3" localSheetId="32">'Template names'!#REF!</definedName>
    <definedName name="SDBIP3" localSheetId="33">'Template names'!#REF!</definedName>
    <definedName name="SDBIP3" localSheetId="57">'Template names'!#REF!</definedName>
    <definedName name="SDBIP3">'Template names'!#REF!</definedName>
    <definedName name="SDBIP4" localSheetId="31">'Template names'!#REF!</definedName>
    <definedName name="SDBIP4" localSheetId="32">'Template names'!#REF!</definedName>
    <definedName name="SDBIP4" localSheetId="33">'Template names'!#REF!</definedName>
    <definedName name="SDBIP4" localSheetId="57">'Template names'!#REF!</definedName>
    <definedName name="SDBIP4">'Template names'!#REF!</definedName>
    <definedName name="SDBIP8" localSheetId="31">'Template names'!#REF!</definedName>
    <definedName name="SDBIP8" localSheetId="32">'Template names'!#REF!</definedName>
    <definedName name="SDBIP8" localSheetId="33">'Template names'!#REF!</definedName>
    <definedName name="SDBIP8" localSheetId="57">'Template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3" localSheetId="31">'Template names'!#REF!</definedName>
    <definedName name="TabC3" localSheetId="32">'Template names'!#REF!</definedName>
    <definedName name="TabC3" localSheetId="33">'Template names'!#REF!</definedName>
    <definedName name="TabC3" localSheetId="57">'Template names'!#REF!</definedName>
    <definedName name="TabC3">'Template names'!#REF!</definedName>
    <definedName name="TabC4" localSheetId="31">'Template names'!#REF!</definedName>
    <definedName name="TabC4" localSheetId="32">'Template names'!#REF!</definedName>
    <definedName name="TabC4" localSheetId="33">'Template names'!#REF!</definedName>
    <definedName name="TabC4" localSheetId="57">'Template names'!#REF!</definedName>
    <definedName name="TabC4">'Template names'!#REF!</definedName>
    <definedName name="TabC5" localSheetId="31">'Template names'!#REF!</definedName>
    <definedName name="TabC5" localSheetId="32">'Template names'!#REF!</definedName>
    <definedName name="TabC5" localSheetId="33">'Template names'!#REF!</definedName>
    <definedName name="TabC5" localSheetId="57">'Template names'!#REF!</definedName>
    <definedName name="TabC5">'Template names'!#REF!</definedName>
    <definedName name="TabC6" localSheetId="31">'Template names'!#REF!</definedName>
    <definedName name="TabC6" localSheetId="32">'Template names'!#REF!</definedName>
    <definedName name="TabC6" localSheetId="33">'Template names'!#REF!</definedName>
    <definedName name="TabC6" localSheetId="57">'Template names'!#REF!</definedName>
    <definedName name="TabC6">'Template names'!#REF!</definedName>
    <definedName name="Tabc7" localSheetId="31">'Template names'!#REF!</definedName>
    <definedName name="Tabc7" localSheetId="32">'Template names'!#REF!</definedName>
    <definedName name="Tabc7" localSheetId="33">'Template names'!#REF!</definedName>
    <definedName name="Tabc7" localSheetId="57">'Template names'!#REF!</definedName>
    <definedName name="Tabc7">'Template names'!#REF!</definedName>
    <definedName name="Tabc8" localSheetId="31">'Template names'!#REF!</definedName>
    <definedName name="Tabc8" localSheetId="32">'Template names'!#REF!</definedName>
    <definedName name="Tabc8" localSheetId="33">'Template names'!#REF!</definedName>
    <definedName name="Tabc8" localSheetId="57">'Template names'!#REF!</definedName>
    <definedName name="Tabc8">'Template names'!#REF!</definedName>
    <definedName name="Tabc9" localSheetId="31">'Template names'!#REF!</definedName>
    <definedName name="Tabc9" localSheetId="32">'Template names'!#REF!</definedName>
    <definedName name="Tabc9" localSheetId="33">'Template names'!#REF!</definedName>
    <definedName name="Tabc9" localSheetId="57">'Template names'!#REF!</definedName>
    <definedName name="Tabc9">'Template names'!#REF!</definedName>
    <definedName name="Tablc8" localSheetId="31">'Template names'!#REF!</definedName>
    <definedName name="Tablc8" localSheetId="32">'Template names'!#REF!</definedName>
    <definedName name="Tablc8" localSheetId="33">'Template names'!#REF!</definedName>
    <definedName name="Tablc8" localSheetId="57">'Template names'!#REF!</definedName>
    <definedName name="Tablc8">'Template names'!#REF!</definedName>
    <definedName name="TableA1">'Template names'!$B$111</definedName>
    <definedName name="TableA10">'Template names'!$B$120</definedName>
    <definedName name="TableA11">'Template names'!$B$121</definedName>
    <definedName name="TableA12a">'Template names'!$B$122</definedName>
    <definedName name="TableA12b">'Template names'!$B$123</definedName>
    <definedName name="TableA13a">'Template names'!$B$124</definedName>
    <definedName name="TableA13b">'Template names'!$B$125</definedName>
    <definedName name="TableA14">'Template names'!$B$126</definedName>
    <definedName name="TableA15">'Template names'!$B$127</definedName>
    <definedName name="TableA16">'Template names'!$B$128</definedName>
    <definedName name="TableA17">'Template names'!$B$129</definedName>
    <definedName name="TableA18">'Template names'!$B$130</definedName>
    <definedName name="TableA19">'Template names'!$B$131</definedName>
    <definedName name="TableA2">'Template names'!$B$112</definedName>
    <definedName name="TableA20">'Template names'!$B$132</definedName>
    <definedName name="TableA21">'Template names'!$B$133</definedName>
    <definedName name="TableA22">'Template names'!$B$134</definedName>
    <definedName name="TableA23">'Template names'!$B$135</definedName>
    <definedName name="TableA24">'Template names'!$B$136</definedName>
    <definedName name="TableA25">'Template names'!$B$137</definedName>
    <definedName name="TableA26">'Template names'!$B$138</definedName>
    <definedName name="TableA27">'Template names'!$B$139</definedName>
    <definedName name="TableA28">'Template names'!$B$140</definedName>
    <definedName name="TableA29">'Template names'!$B$141</definedName>
    <definedName name="TableA3">'Template names'!$B$113</definedName>
    <definedName name="TableA30">'Template names'!$B$142</definedName>
    <definedName name="TableA31">'Template names'!$B$143</definedName>
    <definedName name="TableA32">'Template names'!$B$144</definedName>
    <definedName name="TableA33">'Template names'!$B$145</definedName>
    <definedName name="TableA34a">'Template names'!$B$146</definedName>
    <definedName name="TableA34b">'Template names'!$B$147</definedName>
    <definedName name="TableA34c">'Template names'!$B$148</definedName>
    <definedName name="TableA34d">'Template names'!$B$149</definedName>
    <definedName name="TableA35">'Template names'!$B$150</definedName>
    <definedName name="TableA36">'Template names'!$B$151</definedName>
    <definedName name="TableA37">'Template names'!$B$152</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33">'Template names'!#REF!</definedName>
    <definedName name="TableD7" localSheetId="57">'Template names'!#REF!</definedName>
    <definedName name="TableD7">'Template names'!#REF!</definedName>
    <definedName name="TableD8" localSheetId="31">'Template names'!#REF!</definedName>
    <definedName name="TableD8" localSheetId="32">'Template names'!#REF!</definedName>
    <definedName name="TableD8" localSheetId="33">'Template names'!#REF!</definedName>
    <definedName name="TableD8" localSheetId="57">'Template names'!#REF!</definedName>
    <definedName name="TableD8">'Template names'!#REF!</definedName>
    <definedName name="TableE4" localSheetId="31">'Template names'!#REF!</definedName>
    <definedName name="TableE4" localSheetId="32">'Template names'!#REF!</definedName>
    <definedName name="TableE4" localSheetId="33">'Template names'!#REF!</definedName>
    <definedName name="TableE4" localSheetId="57">'Template names'!#REF!</definedName>
    <definedName name="TableE4">'Template names'!#REF!</definedName>
    <definedName name="TableE7" localSheetId="31">'Template names'!#REF!</definedName>
    <definedName name="TableE7" localSheetId="32">'Template names'!#REF!</definedName>
    <definedName name="TableE7" localSheetId="33">'Template names'!#REF!</definedName>
    <definedName name="TableE7" localSheetId="57">'Template names'!#REF!</definedName>
    <definedName name="TableE7">'Template names'!#REF!</definedName>
    <definedName name="TableE9" localSheetId="31">'Template names'!#REF!</definedName>
    <definedName name="TableE9" localSheetId="32">'Template names'!#REF!</definedName>
    <definedName name="TableE9" localSheetId="33">'Template names'!#REF!</definedName>
    <definedName name="TableE9" localSheetId="57">'Template names'!#REF!</definedName>
    <definedName name="TableE9">'Template names'!#REF!</definedName>
    <definedName name="TableF6" localSheetId="31">'Template names'!#REF!</definedName>
    <definedName name="TableF6" localSheetId="32">'Template names'!#REF!</definedName>
    <definedName name="TableF6" localSheetId="33">'Template names'!#REF!</definedName>
    <definedName name="TableF6" localSheetId="57">'Template names'!#REF!</definedName>
    <definedName name="TableF6">'Template names'!#REF!</definedName>
    <definedName name="tariffdisc05" localSheetId="31">#REF!</definedName>
    <definedName name="tariffdisc05" localSheetId="32">#REF!</definedName>
    <definedName name="tariffdisc05" localSheetId="33">#REF!</definedName>
    <definedName name="tariffdisc05" localSheetId="57">#REF!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[2]Data!$B$3</definedName>
    <definedName name="Z_F50C5479_5CC4_4FD7_8319_543D29E829F0_.wvu.Cols" localSheetId="10" hidden="1">A3A!$L:$W</definedName>
    <definedName name="Z_F50C5479_5CC4_4FD7_8319_543D29E829F0_.wvu.Cols" localSheetId="9" hidden="1">'A3-FinPerf V'!$L:$W</definedName>
    <definedName name="Z_F50C5479_5CC4_4FD7_8319_543D29E829F0_.wvu.Cols" localSheetId="11" hidden="1">'A4-FinPerf RE'!$M:$X</definedName>
    <definedName name="Z_F50C5479_5CC4_4FD7_8319_543D29E829F0_.wvu.Cols" localSheetId="61" hidden="1">NERF!$C:$C</definedName>
    <definedName name="Z_F50C5479_5CC4_4FD7_8319_543D29E829F0_.wvu.Cols" localSheetId="4" hidden="1">'Org structure'!$D:$D</definedName>
    <definedName name="Z_F50C5479_5CC4_4FD7_8319_543D29E829F0_.wvu.Cols" localSheetId="50" hidden="1">'SA30'!$Q:$S</definedName>
    <definedName name="Z_F50C5479_5CC4_4FD7_8319_543D29E829F0_.wvu.FilterData" localSheetId="4" hidden="1">'Org structure'!$A$1:$D$166</definedName>
    <definedName name="Z_F50C5479_5CC4_4FD7_8319_543D29E829F0_.wvu.PrintArea" localSheetId="18" hidden="1">'A10-SerDel'!$A$1:$K$87</definedName>
    <definedName name="Z_F50C5479_5CC4_4FD7_8319_543D29E829F0_.wvu.PrintArea" localSheetId="6" hidden="1">'A1-Sum'!$A$1:$K$66</definedName>
    <definedName name="Z_F50C5479_5CC4_4FD7_8319_543D29E829F0_.wvu.PrintArea" localSheetId="7" hidden="1">'A2-FinPerf SC'!$A$1:$K$54</definedName>
    <definedName name="Z_F50C5479_5CC4_4FD7_8319_543D29E829F0_.wvu.PrintArea" localSheetId="10" hidden="1">A3A!$A$1:$K$713</definedName>
    <definedName name="Z_F50C5479_5CC4_4FD7_8319_543D29E829F0_.wvu.PrintArea" localSheetId="9" hidden="1">'A3-FinPerf V'!$A$1:$K$43</definedName>
    <definedName name="Z_F50C5479_5CC4_4FD7_8319_543D29E829F0_.wvu.PrintArea" localSheetId="11" hidden="1">'A4-FinPerf RE'!$A$1:$X$56</definedName>
    <definedName name="Z_F50C5479_5CC4_4FD7_8319_543D29E829F0_.wvu.PrintArea" localSheetId="13" hidden="1">A5A!$A$1:$L$171</definedName>
    <definedName name="Z_F50C5479_5CC4_4FD7_8319_543D29E829F0_.wvu.PrintArea" localSheetId="12" hidden="1">'A5-Capex'!$A$1:$L$84</definedName>
    <definedName name="Z_F50C5479_5CC4_4FD7_8319_543D29E829F0_.wvu.PrintArea" localSheetId="14" hidden="1">'A6-FinPos'!$A$1:$L$54</definedName>
    <definedName name="Z_F50C5479_5CC4_4FD7_8319_543D29E829F0_.wvu.PrintArea" localSheetId="15" hidden="1">'A7-CFlow'!$A$1:$L$43</definedName>
    <definedName name="Z_F50C5479_5CC4_4FD7_8319_543D29E829F0_.wvu.PrintArea" localSheetId="16" hidden="1">'A8-ResRecon'!$A$1:$L$25</definedName>
    <definedName name="Z_F50C5479_5CC4_4FD7_8319_543D29E829F0_.wvu.PrintArea" localSheetId="17" hidden="1">'A9-Asset'!$A$1:$K$93</definedName>
    <definedName name="Z_F50C5479_5CC4_4FD7_8319_543D29E829F0_.wvu.PrintArea" localSheetId="5" hidden="1">Contacts!$A$1:$D$72</definedName>
    <definedName name="Z_F50C5479_5CC4_4FD7_8319_543D29E829F0_.wvu.PrintArea" localSheetId="1" hidden="1">Instructions!$A$1:$M$47</definedName>
    <definedName name="Z_F50C5479_5CC4_4FD7_8319_543D29E829F0_.wvu.PrintArea" localSheetId="61" hidden="1">NERF!$A$1:$M$68</definedName>
    <definedName name="Z_F50C5479_5CC4_4FD7_8319_543D29E829F0_.wvu.PrintArea" localSheetId="19" hidden="1">'SA1'!$A$1:$L$172</definedName>
    <definedName name="Z_F50C5479_5CC4_4FD7_8319_543D29E829F0_.wvu.PrintArea" localSheetId="28" hidden="1">'SA10'!$A$1:$M$34</definedName>
    <definedName name="Z_F50C5479_5CC4_4FD7_8319_543D29E829F0_.wvu.PrintArea" localSheetId="29" hidden="1">'SA11'!$A$1:$K$73</definedName>
    <definedName name="Z_F50C5479_5CC4_4FD7_8319_543D29E829F0_.wvu.PrintArea" localSheetId="30" hidden="1">SA12a!$A$1:$R$110</definedName>
    <definedName name="Z_F50C5479_5CC4_4FD7_8319_543D29E829F0_.wvu.PrintArea" localSheetId="31" hidden="1">SA12b!$A$1:$R$110</definedName>
    <definedName name="Z_F50C5479_5CC4_4FD7_8319_543D29E829F0_.wvu.PrintArea" localSheetId="32" hidden="1">SA13a!$A$1:$R$130</definedName>
    <definedName name="Z_F50C5479_5CC4_4FD7_8319_543D29E829F0_.wvu.PrintArea" localSheetId="33" hidden="1">SA13b!$A$1:$R$131</definedName>
    <definedName name="Z_F50C5479_5CC4_4FD7_8319_543D29E829F0_.wvu.PrintArea" localSheetId="34" hidden="1">'SA14'!$A$1:$L$53</definedName>
    <definedName name="Z_F50C5479_5CC4_4FD7_8319_543D29E829F0_.wvu.PrintArea" localSheetId="35" hidden="1">'SA15'!$A$1:$K$35</definedName>
    <definedName name="Z_F50C5479_5CC4_4FD7_8319_543D29E829F0_.wvu.PrintArea" localSheetId="36" hidden="1">'SA16'!$A$1:$J$28</definedName>
    <definedName name="Z_F50C5479_5CC4_4FD7_8319_543D29E829F0_.wvu.PrintArea" localSheetId="37" hidden="1">'SA17'!$A$1:$K$70</definedName>
    <definedName name="Z_F50C5479_5CC4_4FD7_8319_543D29E829F0_.wvu.PrintArea" localSheetId="38" hidden="1">'SA18'!$A$1:$K$53</definedName>
    <definedName name="Z_F50C5479_5CC4_4FD7_8319_543D29E829F0_.wvu.PrintArea" localSheetId="39" hidden="1">'SA19'!$A$1:$K$49</definedName>
    <definedName name="Z_F50C5479_5CC4_4FD7_8319_543D29E829F0_.wvu.PrintArea" localSheetId="20" hidden="1">'SA2'!$A$1:$R$44</definedName>
    <definedName name="Z_F50C5479_5CC4_4FD7_8319_543D29E829F0_.wvu.PrintArea" localSheetId="40" hidden="1">'SA20'!$A$1:$K$58</definedName>
    <definedName name="Z_F50C5479_5CC4_4FD7_8319_543D29E829F0_.wvu.PrintArea" localSheetId="41" hidden="1">'SA21'!$A$1:$L$73</definedName>
    <definedName name="Z_F50C5479_5CC4_4FD7_8319_543D29E829F0_.wvu.PrintArea" localSheetId="42" hidden="1">'SA22'!$A$1:$K$120</definedName>
    <definedName name="Z_F50C5479_5CC4_4FD7_8319_543D29E829F0_.wvu.PrintArea" localSheetId="43" hidden="1">'SA23'!$A$1:$I$70</definedName>
    <definedName name="Z_F50C5479_5CC4_4FD7_8319_543D29E829F0_.wvu.PrintArea" localSheetId="44" hidden="1">'SA24'!$A$1:$K$51</definedName>
    <definedName name="Z_F50C5479_5CC4_4FD7_8319_543D29E829F0_.wvu.PrintArea" localSheetId="45" hidden="1">'SA25'!$A$1:$Q$48</definedName>
    <definedName name="Z_F50C5479_5CC4_4FD7_8319_543D29E829F0_.wvu.PrintArea" localSheetId="46" hidden="1">'SA26'!$A$1:$Q$47</definedName>
    <definedName name="Z_F50C5479_5CC4_4FD7_8319_543D29E829F0_.wvu.PrintArea" localSheetId="47" hidden="1">'SA27'!$A$1:$Q$55</definedName>
    <definedName name="Z_F50C5479_5CC4_4FD7_8319_543D29E829F0_.wvu.PrintArea" localSheetId="48" hidden="1">'SA28'!$A$1:$Q$44</definedName>
    <definedName name="Z_F50C5479_5CC4_4FD7_8319_543D29E829F0_.wvu.PrintArea" localSheetId="49" hidden="1">'SA29'!$A$1:$Q$29</definedName>
    <definedName name="Z_F50C5479_5CC4_4FD7_8319_543D29E829F0_.wvu.PrintArea" localSheetId="21" hidden="1">'SA3'!$A$1:$L$75</definedName>
    <definedName name="Z_F50C5479_5CC4_4FD7_8319_543D29E829F0_.wvu.PrintArea" localSheetId="50" hidden="1">'SA30'!$A$1:$P$56</definedName>
    <definedName name="Z_F50C5479_5CC4_4FD7_8319_543D29E829F0_.wvu.PrintArea" localSheetId="51" hidden="1">'SA31'!$A$1:$K$42</definedName>
    <definedName name="Z_F50C5479_5CC4_4FD7_8319_543D29E829F0_.wvu.PrintArea" localSheetId="52" hidden="1">'SA32'!$A$1:$F$27</definedName>
    <definedName name="Z_F50C5479_5CC4_4FD7_8319_543D29E829F0_.wvu.PrintArea" localSheetId="53" hidden="1">'SA33'!$A$1:$O$47</definedName>
    <definedName name="Z_F50C5479_5CC4_4FD7_8319_543D29E829F0_.wvu.PrintArea" localSheetId="54" hidden="1">SA34a!$A$1:$K$90</definedName>
    <definedName name="Z_F50C5479_5CC4_4FD7_8319_543D29E829F0_.wvu.PrintArea" localSheetId="58" hidden="1">'SA35'!$A$1:$I$58</definedName>
    <definedName name="Z_F50C5479_5CC4_4FD7_8319_543D29E829F0_.wvu.PrintArea" localSheetId="59" hidden="1">'SA36'!$A$1:$Q$169</definedName>
    <definedName name="Z_F50C5479_5CC4_4FD7_8319_543D29E829F0_.wvu.PrintArea" localSheetId="60" hidden="1">'SA37'!$A$1:$M$37</definedName>
    <definedName name="Z_F50C5479_5CC4_4FD7_8319_543D29E829F0_.wvu.PrintArea" localSheetId="22" hidden="1">'SA4'!$A$1:$M$24</definedName>
    <definedName name="Z_F50C5479_5CC4_4FD7_8319_543D29E829F0_.wvu.PrintArea" localSheetId="23" hidden="1">'SA5'!$A$1:$M$25</definedName>
    <definedName name="Z_F50C5479_5CC4_4FD7_8319_543D29E829F0_.wvu.PrintArea" localSheetId="24" hidden="1">'SA6'!$A$1:$M$24</definedName>
    <definedName name="Z_F50C5479_5CC4_4FD7_8319_543D29E829F0_.wvu.PrintArea" localSheetId="25" hidden="1">'SA7'!$A$1:$K$89</definedName>
    <definedName name="Z_F50C5479_5CC4_4FD7_8319_543D29E829F0_.wvu.PrintArea" localSheetId="26" hidden="1">'SA8'!$A$1:$L$42</definedName>
    <definedName name="Z_F50C5479_5CC4_4FD7_8319_543D29E829F0_.wvu.PrintArea" localSheetId="27" hidden="1">'SA9'!$A$1:$L$68</definedName>
    <definedName name="Z_F50C5479_5CC4_4FD7_8319_543D29E829F0_.wvu.PrintTitles" localSheetId="10" hidden="1">A3A!$1:$3</definedName>
    <definedName name="Z_F50C5479_5CC4_4FD7_8319_543D29E829F0_.wvu.PrintTitles" localSheetId="9" hidden="1">'A3-FinPerf V'!$1:$3</definedName>
    <definedName name="Z_F50C5479_5CC4_4FD7_8319_543D29E829F0_.wvu.PrintTitles" localSheetId="12" hidden="1">'A5-Capex'!$1:$3</definedName>
  </definedNames>
  <calcPr calcId="152511"/>
  <customWorkbookViews>
    <customWorkbookView name="mashaob - Personal View" guid="{F50C5479-5CC4-4FD7-8319-543D29E829F0}" mergeInterval="0" personalView="1" xWindow="3" windowWidth="1277" windowHeight="760" tabRatio="889" activeSheetId="20"/>
  </customWorkbookViews>
  <fileRecoveryPr autoRecover="0"/>
</workbook>
</file>

<file path=xl/calcChain.xml><?xml version="1.0" encoding="utf-8"?>
<calcChain xmlns="http://schemas.openxmlformats.org/spreadsheetml/2006/main">
  <c r="M12" i="48" l="1"/>
  <c r="L12" i="48"/>
  <c r="K12" i="48"/>
  <c r="J12" i="48"/>
  <c r="I12" i="48"/>
  <c r="H12" i="48"/>
  <c r="G12" i="48"/>
  <c r="F12" i="48"/>
  <c r="E12" i="48"/>
  <c r="D12" i="48"/>
  <c r="C12" i="48"/>
  <c r="M10" i="48"/>
  <c r="L10" i="48"/>
  <c r="K10" i="48"/>
  <c r="J10" i="48"/>
  <c r="I10" i="48"/>
  <c r="H10" i="48"/>
  <c r="G10" i="48"/>
  <c r="F10" i="48"/>
  <c r="E10" i="48"/>
  <c r="D10" i="48"/>
  <c r="C10" i="48"/>
  <c r="C35" i="47"/>
  <c r="C25" i="47"/>
  <c r="Q25" i="21" l="1"/>
  <c r="P25" i="21"/>
  <c r="O25" i="21"/>
  <c r="N25" i="21"/>
  <c r="N34" i="21"/>
  <c r="M25" i="21"/>
  <c r="L25" i="21"/>
  <c r="K25" i="21"/>
  <c r="J34" i="21"/>
  <c r="J25" i="21"/>
  <c r="I34" i="21"/>
  <c r="I25" i="21"/>
  <c r="F34" i="21"/>
  <c r="H34" i="21"/>
  <c r="H25" i="21"/>
  <c r="G25" i="21"/>
  <c r="F25" i="21"/>
  <c r="E25" i="21"/>
  <c r="F19" i="21"/>
  <c r="K13" i="22"/>
  <c r="L13" i="22" s="1"/>
  <c r="L48" i="22"/>
  <c r="K48" i="22"/>
  <c r="L35" i="22"/>
  <c r="K35" i="22"/>
  <c r="L25" i="22"/>
  <c r="L23" i="22"/>
  <c r="K25" i="22"/>
  <c r="K23" i="22"/>
  <c r="L12" i="22"/>
  <c r="K12" i="22"/>
  <c r="L7" i="22"/>
  <c r="K7" i="22"/>
  <c r="L33" i="15"/>
  <c r="K33" i="15"/>
  <c r="L11" i="15"/>
  <c r="K11" i="15"/>
  <c r="L10" i="15"/>
  <c r="K10" i="15"/>
  <c r="K6" i="15"/>
  <c r="L6" i="15" s="1"/>
  <c r="K709" i="11"/>
  <c r="J55" i="20"/>
  <c r="J49" i="20"/>
  <c r="P37" i="51"/>
  <c r="P38" i="51"/>
  <c r="P39" i="51"/>
  <c r="P41" i="51"/>
  <c r="P42" i="51"/>
  <c r="P43" i="51"/>
  <c r="O37" i="51"/>
  <c r="O38" i="51"/>
  <c r="O39" i="51"/>
  <c r="O40" i="51"/>
  <c r="P40" i="51" s="1"/>
  <c r="O41" i="51"/>
  <c r="O42" i="51"/>
  <c r="O43" i="51"/>
  <c r="O44" i="51"/>
  <c r="P44" i="51" s="1"/>
  <c r="O45" i="51"/>
  <c r="P45" i="51" s="1"/>
  <c r="P36" i="51"/>
  <c r="O36" i="51"/>
  <c r="P24" i="51"/>
  <c r="O24" i="51"/>
  <c r="P6" i="51"/>
  <c r="P7" i="51"/>
  <c r="P8" i="51"/>
  <c r="P10" i="51"/>
  <c r="P11" i="51"/>
  <c r="P14" i="51"/>
  <c r="P15" i="51"/>
  <c r="P16" i="51"/>
  <c r="P18" i="51"/>
  <c r="P19" i="51"/>
  <c r="O6" i="51"/>
  <c r="O7" i="51"/>
  <c r="O8" i="51"/>
  <c r="O9" i="51"/>
  <c r="P9" i="51" s="1"/>
  <c r="O10" i="51"/>
  <c r="O11" i="51"/>
  <c r="O12" i="51"/>
  <c r="P12" i="51" s="1"/>
  <c r="O13" i="51"/>
  <c r="P13" i="51" s="1"/>
  <c r="O14" i="51"/>
  <c r="O15" i="51"/>
  <c r="O16" i="51"/>
  <c r="O17" i="51"/>
  <c r="P17" i="51" s="1"/>
  <c r="O18" i="51"/>
  <c r="O19" i="51"/>
  <c r="O20" i="51"/>
  <c r="P20" i="51" s="1"/>
  <c r="P5" i="51"/>
  <c r="O5" i="51"/>
  <c r="J404" i="11" l="1"/>
  <c r="K404" i="11" s="1"/>
  <c r="K75" i="11"/>
  <c r="J75" i="11"/>
  <c r="I75" i="11"/>
  <c r="K62" i="19" l="1"/>
  <c r="J62" i="19"/>
  <c r="K69" i="19"/>
  <c r="J69" i="19"/>
  <c r="O26" i="60" l="1"/>
  <c r="O27" i="60"/>
  <c r="O28" i="60"/>
  <c r="O29" i="60"/>
  <c r="O30" i="60"/>
  <c r="O31" i="60"/>
  <c r="O32" i="60"/>
  <c r="O33" i="60"/>
  <c r="O34" i="60"/>
  <c r="O35" i="60"/>
  <c r="O37" i="60"/>
  <c r="O38" i="60"/>
  <c r="O40" i="60"/>
  <c r="O43" i="60"/>
  <c r="O44" i="60"/>
  <c r="O45" i="60"/>
  <c r="O46" i="60"/>
  <c r="O47" i="60"/>
  <c r="O48" i="60"/>
  <c r="O49" i="60"/>
  <c r="O50" i="60"/>
  <c r="O51" i="60"/>
  <c r="O52" i="60"/>
  <c r="O53" i="60"/>
  <c r="O54" i="60"/>
  <c r="O55" i="60"/>
  <c r="O56" i="60"/>
  <c r="O57" i="60"/>
  <c r="O58" i="60"/>
  <c r="O59" i="60"/>
  <c r="O60" i="60"/>
  <c r="O61" i="60"/>
  <c r="O62" i="60"/>
  <c r="O63" i="60"/>
  <c r="O64" i="60"/>
  <c r="O65" i="60"/>
  <c r="O66" i="60"/>
  <c r="O67" i="60"/>
  <c r="O68" i="60"/>
  <c r="O69" i="60"/>
  <c r="O70" i="60"/>
  <c r="O71" i="60"/>
  <c r="O72" i="60"/>
  <c r="O73" i="60"/>
  <c r="O74" i="60"/>
  <c r="O75" i="60"/>
  <c r="O76" i="60"/>
  <c r="O77" i="60"/>
  <c r="O78" i="60"/>
  <c r="O79" i="60"/>
  <c r="O80" i="60"/>
  <c r="O81" i="60"/>
  <c r="O82" i="60"/>
  <c r="O83" i="60"/>
  <c r="O84" i="60"/>
  <c r="O85" i="60"/>
  <c r="O86" i="60"/>
  <c r="O87" i="60"/>
  <c r="O88" i="60"/>
  <c r="O89" i="60"/>
  <c r="O90" i="60"/>
  <c r="O91" i="60"/>
  <c r="O92" i="60"/>
  <c r="O93" i="60"/>
  <c r="O94" i="60"/>
  <c r="O95" i="60"/>
  <c r="O96" i="60"/>
  <c r="O97" i="60"/>
  <c r="O98" i="60"/>
  <c r="O99" i="60"/>
  <c r="O100" i="60"/>
  <c r="O101" i="60"/>
  <c r="O102" i="60"/>
  <c r="O103" i="60"/>
  <c r="O104" i="60"/>
  <c r="O106" i="60"/>
  <c r="O107" i="60"/>
  <c r="N26" i="60"/>
  <c r="N27" i="60"/>
  <c r="N28" i="60"/>
  <c r="N29" i="60"/>
  <c r="N30" i="60"/>
  <c r="N31" i="60"/>
  <c r="N32" i="60"/>
  <c r="N33" i="60"/>
  <c r="N34" i="60"/>
  <c r="N35" i="60"/>
  <c r="N36" i="60"/>
  <c r="O36" i="60" s="1"/>
  <c r="N37" i="60"/>
  <c r="N38" i="60"/>
  <c r="N39" i="60"/>
  <c r="O39" i="60" s="1"/>
  <c r="N40" i="60"/>
  <c r="N41" i="60"/>
  <c r="O41" i="60" s="1"/>
  <c r="N42" i="60"/>
  <c r="O42" i="60" s="1"/>
  <c r="N43" i="60"/>
  <c r="N44" i="60"/>
  <c r="N45" i="60"/>
  <c r="N46" i="60"/>
  <c r="N47" i="60"/>
  <c r="N48" i="60"/>
  <c r="N49" i="60"/>
  <c r="N50" i="60"/>
  <c r="N51" i="60"/>
  <c r="N52" i="60"/>
  <c r="N53" i="60"/>
  <c r="N54" i="60"/>
  <c r="N55" i="60"/>
  <c r="N56" i="60"/>
  <c r="N57" i="60"/>
  <c r="N58" i="60"/>
  <c r="N59" i="60"/>
  <c r="N60" i="60"/>
  <c r="N61" i="60"/>
  <c r="N62" i="60"/>
  <c r="N63" i="60"/>
  <c r="N64" i="60"/>
  <c r="N65" i="60"/>
  <c r="N66" i="60"/>
  <c r="N67" i="60"/>
  <c r="N68" i="60"/>
  <c r="N69" i="60"/>
  <c r="N70" i="60"/>
  <c r="N71" i="60"/>
  <c r="N72" i="60"/>
  <c r="N73" i="60"/>
  <c r="N74" i="60"/>
  <c r="N75" i="60"/>
  <c r="N76" i="60"/>
  <c r="N77" i="60"/>
  <c r="N78" i="60"/>
  <c r="N79" i="60"/>
  <c r="N80" i="60"/>
  <c r="N81" i="60"/>
  <c r="N82" i="60"/>
  <c r="N83" i="60"/>
  <c r="N84" i="60"/>
  <c r="N85" i="60"/>
  <c r="N86" i="60"/>
  <c r="N87" i="60"/>
  <c r="N88" i="60"/>
  <c r="N89" i="60"/>
  <c r="N90" i="60"/>
  <c r="N91" i="60"/>
  <c r="N92" i="60"/>
  <c r="N93" i="60"/>
  <c r="N94" i="60"/>
  <c r="N95" i="60"/>
  <c r="N96" i="60"/>
  <c r="N97" i="60"/>
  <c r="N98" i="60"/>
  <c r="N99" i="60"/>
  <c r="N100" i="60"/>
  <c r="N101" i="60"/>
  <c r="N102" i="60"/>
  <c r="N103" i="60"/>
  <c r="N104" i="60"/>
  <c r="N105" i="60"/>
  <c r="O105" i="60" s="1"/>
  <c r="N106" i="60"/>
  <c r="N107" i="60"/>
  <c r="O25" i="60"/>
  <c r="N25" i="60"/>
  <c r="I13" i="35"/>
  <c r="I12" i="35"/>
  <c r="I11" i="35"/>
  <c r="I10" i="35"/>
  <c r="I7" i="35"/>
  <c r="L8" i="35"/>
  <c r="L9" i="35"/>
  <c r="L11" i="35"/>
  <c r="L12" i="35"/>
  <c r="L13" i="35"/>
  <c r="K8" i="35"/>
  <c r="K9" i="35"/>
  <c r="K10" i="35"/>
  <c r="L10" i="35" s="1"/>
  <c r="K11" i="35"/>
  <c r="K12" i="35"/>
  <c r="K13" i="35"/>
  <c r="L7" i="35"/>
  <c r="K7" i="35"/>
  <c r="H5" i="34"/>
  <c r="J84" i="33"/>
  <c r="I84" i="33"/>
  <c r="J83" i="33"/>
  <c r="I83" i="33"/>
  <c r="J52" i="33"/>
  <c r="J53" i="33"/>
  <c r="J54" i="33"/>
  <c r="J55" i="33"/>
  <c r="J56" i="33"/>
  <c r="J57" i="33"/>
  <c r="J58" i="33"/>
  <c r="I52" i="33"/>
  <c r="I53" i="33"/>
  <c r="I54" i="33"/>
  <c r="I55" i="33"/>
  <c r="I56" i="33"/>
  <c r="I57" i="33"/>
  <c r="I58" i="33"/>
  <c r="J51" i="33"/>
  <c r="I51" i="33"/>
  <c r="J47" i="33"/>
  <c r="I47" i="33"/>
  <c r="J39" i="33"/>
  <c r="I39" i="33"/>
  <c r="J31" i="33"/>
  <c r="J32" i="33"/>
  <c r="I31" i="33"/>
  <c r="I32" i="33"/>
  <c r="J30" i="33"/>
  <c r="I30" i="33"/>
  <c r="J6" i="33"/>
  <c r="J7" i="33"/>
  <c r="J8" i="33"/>
  <c r="J9" i="33"/>
  <c r="J10" i="33"/>
  <c r="J11" i="33"/>
  <c r="J12" i="33"/>
  <c r="J13" i="33"/>
  <c r="J14" i="33"/>
  <c r="J15" i="33"/>
  <c r="J16" i="33"/>
  <c r="J17" i="33"/>
  <c r="J18" i="33"/>
  <c r="J19" i="33"/>
  <c r="I6" i="33"/>
  <c r="I7" i="33"/>
  <c r="I8" i="33"/>
  <c r="I9" i="33"/>
  <c r="I10" i="33"/>
  <c r="I11" i="33"/>
  <c r="I12" i="33"/>
  <c r="I13" i="33"/>
  <c r="I14" i="33"/>
  <c r="I15" i="33"/>
  <c r="I16" i="33"/>
  <c r="I17" i="33"/>
  <c r="I18" i="33"/>
  <c r="I19" i="33"/>
  <c r="J5" i="33"/>
  <c r="I5" i="33"/>
  <c r="E46" i="13" l="1"/>
  <c r="E54" i="13"/>
  <c r="E219" i="14"/>
  <c r="M10" i="61" l="1"/>
  <c r="M12" i="61"/>
  <c r="L9" i="61"/>
  <c r="M9" i="61" s="1"/>
  <c r="L10" i="61"/>
  <c r="L11" i="61"/>
  <c r="M11" i="61" s="1"/>
  <c r="L12" i="61"/>
  <c r="L13" i="61"/>
  <c r="M13" i="61" s="1"/>
  <c r="L8" i="61"/>
  <c r="M8" i="61" s="1"/>
  <c r="I56" i="58"/>
  <c r="J56" i="58" s="1"/>
  <c r="K56" i="58" s="1"/>
  <c r="J75" i="20"/>
  <c r="J79" i="20" s="1"/>
  <c r="J28" i="12" s="1"/>
  <c r="I60" i="58"/>
  <c r="J60" i="58" s="1"/>
  <c r="I55" i="58"/>
  <c r="I54" i="58"/>
  <c r="J54" i="58" s="1"/>
  <c r="K54" i="58" s="1"/>
  <c r="I52" i="58"/>
  <c r="J52" i="58" s="1"/>
  <c r="I41" i="58"/>
  <c r="J41" i="58" s="1"/>
  <c r="I25" i="58"/>
  <c r="I21" i="58" s="1"/>
  <c r="I13" i="57"/>
  <c r="I20" i="57"/>
  <c r="I8" i="57"/>
  <c r="I17" i="57"/>
  <c r="I15" i="57"/>
  <c r="J15" i="57" s="1"/>
  <c r="I63" i="57"/>
  <c r="J63" i="57" s="1"/>
  <c r="K63" i="57" s="1"/>
  <c r="I55" i="57"/>
  <c r="J55" i="57" s="1"/>
  <c r="I20" i="55"/>
  <c r="I17" i="55"/>
  <c r="J17" i="55" s="1"/>
  <c r="K17" i="55" s="1"/>
  <c r="I15" i="55"/>
  <c r="I13" i="55"/>
  <c r="J13" i="55" s="1"/>
  <c r="K12" i="55"/>
  <c r="J12" i="55"/>
  <c r="J12" i="57"/>
  <c r="K12" i="57" s="1"/>
  <c r="J219" i="14"/>
  <c r="J28" i="13" s="1"/>
  <c r="O27" i="49" s="1"/>
  <c r="N27" i="49" s="1"/>
  <c r="C20" i="47"/>
  <c r="J40" i="45"/>
  <c r="I41" i="45"/>
  <c r="I40" i="45"/>
  <c r="J32" i="45"/>
  <c r="J31" i="45"/>
  <c r="J41" i="45" s="1"/>
  <c r="J6" i="45"/>
  <c r="C31" i="46"/>
  <c r="K55" i="19"/>
  <c r="J55" i="19"/>
  <c r="K49" i="19"/>
  <c r="J49" i="19"/>
  <c r="K17" i="19"/>
  <c r="J17" i="19"/>
  <c r="K13" i="19"/>
  <c r="J13" i="19"/>
  <c r="K12" i="19"/>
  <c r="J12" i="19"/>
  <c r="J8" i="19"/>
  <c r="K8" i="19" s="1"/>
  <c r="J9" i="19"/>
  <c r="K9" i="19" s="1"/>
  <c r="K7" i="19"/>
  <c r="J7" i="19"/>
  <c r="G473" i="11"/>
  <c r="J55" i="58"/>
  <c r="K55" i="58" s="1"/>
  <c r="J57" i="58"/>
  <c r="K57" i="58"/>
  <c r="J58" i="58"/>
  <c r="K58" i="58"/>
  <c r="J59" i="58"/>
  <c r="K59" i="58"/>
  <c r="K60" i="58"/>
  <c r="K52" i="58"/>
  <c r="K51" i="58" s="1"/>
  <c r="K41" i="58"/>
  <c r="K27" i="58" s="1"/>
  <c r="J25" i="58"/>
  <c r="K25" i="58" s="1"/>
  <c r="K21" i="58" s="1"/>
  <c r="J52" i="57"/>
  <c r="K52" i="57" s="1"/>
  <c r="J20" i="57"/>
  <c r="K20" i="57" s="1"/>
  <c r="K18" i="57" s="1"/>
  <c r="K73" i="18" s="1"/>
  <c r="J17" i="57"/>
  <c r="K17" i="57" s="1"/>
  <c r="J13" i="57"/>
  <c r="K13" i="57" s="1"/>
  <c r="K10" i="57"/>
  <c r="K71" i="18" s="1"/>
  <c r="J8" i="57"/>
  <c r="K8" i="57" s="1"/>
  <c r="K7" i="57"/>
  <c r="J55" i="55"/>
  <c r="K55" i="55" s="1"/>
  <c r="J41" i="55"/>
  <c r="K41" i="55"/>
  <c r="K27" i="55" s="1"/>
  <c r="K12" i="18"/>
  <c r="J8" i="55"/>
  <c r="K8" i="55"/>
  <c r="K7" i="55" s="1"/>
  <c r="K6" i="18" s="1"/>
  <c r="J34" i="43"/>
  <c r="K34" i="43" s="1"/>
  <c r="J35" i="43"/>
  <c r="K35" i="43" s="1"/>
  <c r="J36" i="43"/>
  <c r="K36" i="43" s="1"/>
  <c r="J37" i="43"/>
  <c r="K37" i="43" s="1"/>
  <c r="J38" i="43"/>
  <c r="K38" i="43" s="1"/>
  <c r="J39" i="43"/>
  <c r="K39" i="43" s="1"/>
  <c r="J40" i="43"/>
  <c r="K40" i="43" s="1"/>
  <c r="J42" i="43"/>
  <c r="K42" i="43" s="1"/>
  <c r="J33" i="43"/>
  <c r="K33" i="43" s="1"/>
  <c r="J18" i="43"/>
  <c r="K18" i="43"/>
  <c r="J19" i="43"/>
  <c r="K19" i="43"/>
  <c r="J20" i="43"/>
  <c r="K20" i="43"/>
  <c r="J21" i="43"/>
  <c r="K21" i="43"/>
  <c r="J22" i="43"/>
  <c r="K22" i="43"/>
  <c r="J23" i="43"/>
  <c r="K23" i="43"/>
  <c r="J24" i="43"/>
  <c r="K24" i="43"/>
  <c r="J25" i="43"/>
  <c r="K25" i="43"/>
  <c r="J26" i="43"/>
  <c r="K26" i="43"/>
  <c r="J27" i="43"/>
  <c r="K27" i="43"/>
  <c r="J28" i="43"/>
  <c r="K28" i="43"/>
  <c r="J17" i="43"/>
  <c r="K17" i="43" s="1"/>
  <c r="K29" i="43" s="1"/>
  <c r="J7" i="43"/>
  <c r="K7" i="43" s="1"/>
  <c r="J8" i="43"/>
  <c r="K8" i="43" s="1"/>
  <c r="J9" i="43"/>
  <c r="K9" i="43" s="1"/>
  <c r="J10" i="43"/>
  <c r="K10" i="43" s="1"/>
  <c r="J11" i="43"/>
  <c r="K11" i="43" s="1"/>
  <c r="J12" i="43"/>
  <c r="K12" i="43" s="1"/>
  <c r="J6" i="43"/>
  <c r="K6" i="43" s="1"/>
  <c r="J7" i="41"/>
  <c r="K7" i="41" s="1"/>
  <c r="J31" i="40"/>
  <c r="K31" i="40" s="1"/>
  <c r="J9" i="40"/>
  <c r="K9" i="40"/>
  <c r="J10" i="40"/>
  <c r="K10" i="40"/>
  <c r="J11" i="40"/>
  <c r="K11" i="40"/>
  <c r="J12" i="40"/>
  <c r="K12" i="40"/>
  <c r="J13" i="40"/>
  <c r="K13" i="40"/>
  <c r="J14" i="40"/>
  <c r="K14" i="40"/>
  <c r="J8" i="40"/>
  <c r="K8" i="40" s="1"/>
  <c r="J13" i="39"/>
  <c r="K13" i="39"/>
  <c r="K16" i="25"/>
  <c r="M11" i="25"/>
  <c r="M13" i="25"/>
  <c r="M15" i="25"/>
  <c r="M18" i="25"/>
  <c r="L11" i="25"/>
  <c r="L12" i="25"/>
  <c r="M12" i="25" s="1"/>
  <c r="L13" i="25"/>
  <c r="L14" i="25"/>
  <c r="M14" i="25" s="1"/>
  <c r="L15" i="25"/>
  <c r="L16" i="25"/>
  <c r="M16" i="25" s="1"/>
  <c r="L17" i="25"/>
  <c r="M17" i="25" s="1"/>
  <c r="L18" i="25"/>
  <c r="M10" i="25"/>
  <c r="L10" i="25"/>
  <c r="K352" i="14"/>
  <c r="K330" i="14"/>
  <c r="K329" i="14" s="1"/>
  <c r="K29" i="13" s="1"/>
  <c r="P28" i="49" s="1"/>
  <c r="F54" i="22"/>
  <c r="L9" i="22"/>
  <c r="L7" i="15" s="1"/>
  <c r="C28" i="21"/>
  <c r="R28" i="21" s="1"/>
  <c r="K247" i="14"/>
  <c r="K248" i="14"/>
  <c r="L248" i="14" s="1"/>
  <c r="K249" i="14"/>
  <c r="L249" i="14" s="1"/>
  <c r="K250" i="14"/>
  <c r="L250" i="14" s="1"/>
  <c r="K251" i="14"/>
  <c r="L251" i="14" s="1"/>
  <c r="K252" i="14"/>
  <c r="L252" i="14" s="1"/>
  <c r="K253" i="14"/>
  <c r="L253" i="14" s="1"/>
  <c r="K254" i="14"/>
  <c r="L254" i="14" s="1"/>
  <c r="K255" i="14"/>
  <c r="L255" i="14" s="1"/>
  <c r="K256" i="14"/>
  <c r="L256" i="14" s="1"/>
  <c r="K257" i="14"/>
  <c r="L257" i="14" s="1"/>
  <c r="K258" i="14"/>
  <c r="L258" i="14" s="1"/>
  <c r="K259" i="14"/>
  <c r="L259" i="14" s="1"/>
  <c r="K260" i="14"/>
  <c r="L260" i="14" s="1"/>
  <c r="K261" i="14"/>
  <c r="L261" i="14" s="1"/>
  <c r="K262" i="14"/>
  <c r="L262" i="14" s="1"/>
  <c r="K263" i="14"/>
  <c r="L263" i="14" s="1"/>
  <c r="K264" i="14"/>
  <c r="L264" i="14" s="1"/>
  <c r="K265" i="14"/>
  <c r="L265" i="14" s="1"/>
  <c r="K266" i="14"/>
  <c r="L266" i="14" s="1"/>
  <c r="K267" i="14"/>
  <c r="L267" i="14" s="1"/>
  <c r="K268" i="14"/>
  <c r="L268" i="14" s="1"/>
  <c r="K269" i="14"/>
  <c r="L269" i="14" s="1"/>
  <c r="K270" i="14"/>
  <c r="L270" i="14" s="1"/>
  <c r="K271" i="14"/>
  <c r="L271" i="14" s="1"/>
  <c r="K272" i="14"/>
  <c r="L272" i="14" s="1"/>
  <c r="K273" i="14"/>
  <c r="L273" i="14" s="1"/>
  <c r="K274" i="14"/>
  <c r="L274" i="14" s="1"/>
  <c r="K275" i="14"/>
  <c r="L275" i="14" s="1"/>
  <c r="K276" i="14"/>
  <c r="L276" i="14" s="1"/>
  <c r="K277" i="14"/>
  <c r="L277" i="14" s="1"/>
  <c r="K278" i="14"/>
  <c r="L278" i="14" s="1"/>
  <c r="K279" i="14"/>
  <c r="L279" i="14" s="1"/>
  <c r="K280" i="14"/>
  <c r="L280" i="14" s="1"/>
  <c r="K281" i="14"/>
  <c r="L281" i="14" s="1"/>
  <c r="K282" i="14"/>
  <c r="L282" i="14" s="1"/>
  <c r="K283" i="14"/>
  <c r="L283" i="14" s="1"/>
  <c r="K284" i="14"/>
  <c r="L284" i="14" s="1"/>
  <c r="K285" i="14"/>
  <c r="L285" i="14" s="1"/>
  <c r="K286" i="14"/>
  <c r="L286" i="14" s="1"/>
  <c r="K287" i="14"/>
  <c r="L287" i="14" s="1"/>
  <c r="K288" i="14"/>
  <c r="L288" i="14" s="1"/>
  <c r="K289" i="14"/>
  <c r="L289" i="14" s="1"/>
  <c r="K290" i="14"/>
  <c r="L290" i="14" s="1"/>
  <c r="K291" i="14"/>
  <c r="L291" i="14" s="1"/>
  <c r="K292" i="14"/>
  <c r="L292" i="14" s="1"/>
  <c r="K293" i="14"/>
  <c r="L293" i="14" s="1"/>
  <c r="K294" i="14"/>
  <c r="L294" i="14" s="1"/>
  <c r="K295" i="14"/>
  <c r="L295" i="14" s="1"/>
  <c r="K296" i="14"/>
  <c r="L296" i="14" s="1"/>
  <c r="K297" i="14"/>
  <c r="L297" i="14" s="1"/>
  <c r="K298" i="14"/>
  <c r="L298" i="14" s="1"/>
  <c r="K299" i="14"/>
  <c r="L299" i="14" s="1"/>
  <c r="K300" i="14"/>
  <c r="L300" i="14" s="1"/>
  <c r="K301" i="14"/>
  <c r="L301" i="14" s="1"/>
  <c r="K302" i="14"/>
  <c r="L302" i="14" s="1"/>
  <c r="K303" i="14"/>
  <c r="L303" i="14" s="1"/>
  <c r="K304" i="14"/>
  <c r="L304" i="14" s="1"/>
  <c r="K305" i="14"/>
  <c r="L305" i="14" s="1"/>
  <c r="K306" i="14"/>
  <c r="L306" i="14" s="1"/>
  <c r="K307" i="14"/>
  <c r="L307" i="14" s="1"/>
  <c r="K308" i="14"/>
  <c r="L308" i="14" s="1"/>
  <c r="K309" i="14"/>
  <c r="L309" i="14" s="1"/>
  <c r="K310" i="14"/>
  <c r="L310" i="14" s="1"/>
  <c r="K311" i="14"/>
  <c r="L311" i="14" s="1"/>
  <c r="K312" i="14"/>
  <c r="L312" i="14" s="1"/>
  <c r="K313" i="14"/>
  <c r="L313" i="14" s="1"/>
  <c r="K314" i="14"/>
  <c r="L314" i="14" s="1"/>
  <c r="K315" i="14"/>
  <c r="L315" i="14" s="1"/>
  <c r="K316" i="14"/>
  <c r="L316" i="14" s="1"/>
  <c r="K317" i="14"/>
  <c r="L317" i="14" s="1"/>
  <c r="K318" i="14"/>
  <c r="L318" i="14" s="1"/>
  <c r="K319" i="14"/>
  <c r="L319" i="14" s="1"/>
  <c r="K320" i="14"/>
  <c r="L320" i="14" s="1"/>
  <c r="K321" i="14"/>
  <c r="L321" i="14" s="1"/>
  <c r="K322" i="14"/>
  <c r="L322" i="14" s="1"/>
  <c r="K323" i="14"/>
  <c r="L323" i="14" s="1"/>
  <c r="K324" i="14"/>
  <c r="L324" i="14" s="1"/>
  <c r="K325" i="14"/>
  <c r="L325" i="14" s="1"/>
  <c r="K326" i="14"/>
  <c r="L326" i="14" s="1"/>
  <c r="K246" i="14"/>
  <c r="L246" i="14" s="1"/>
  <c r="K159" i="20"/>
  <c r="L159" i="20" s="1"/>
  <c r="L160" i="20" s="1"/>
  <c r="K31" i="12"/>
  <c r="L31" i="12" s="1"/>
  <c r="Q31" i="46" s="1"/>
  <c r="K26" i="12"/>
  <c r="J12" i="7" s="1"/>
  <c r="L15" i="12"/>
  <c r="K15" i="12"/>
  <c r="K50" i="20"/>
  <c r="L50" i="20" s="1"/>
  <c r="M36" i="62" s="1"/>
  <c r="K51" i="20"/>
  <c r="L51" i="20" s="1"/>
  <c r="K52" i="20"/>
  <c r="L52" i="20" s="1"/>
  <c r="K53" i="20"/>
  <c r="L53" i="20" s="1"/>
  <c r="K54" i="20"/>
  <c r="L54" i="20" s="1"/>
  <c r="K56" i="20"/>
  <c r="L56" i="20" s="1"/>
  <c r="K57" i="20"/>
  <c r="L57" i="20" s="1"/>
  <c r="K58" i="20"/>
  <c r="L58" i="20" s="1"/>
  <c r="K59" i="20"/>
  <c r="L59" i="20" s="1"/>
  <c r="K60" i="20"/>
  <c r="L60" i="20" s="1"/>
  <c r="K33" i="20"/>
  <c r="L33" i="20" s="1"/>
  <c r="M10" i="62" s="1"/>
  <c r="J55" i="9"/>
  <c r="J705" i="11"/>
  <c r="K705" i="11" s="1"/>
  <c r="J704" i="11"/>
  <c r="K704" i="11" s="1"/>
  <c r="J703" i="11"/>
  <c r="K703" i="11" s="1"/>
  <c r="J702" i="11"/>
  <c r="K702" i="11" s="1"/>
  <c r="J701" i="11"/>
  <c r="K701" i="11" s="1"/>
  <c r="J698" i="11"/>
  <c r="K698" i="11" s="1"/>
  <c r="J687" i="11"/>
  <c r="K687" i="11" s="1"/>
  <c r="J686" i="11"/>
  <c r="K686" i="11" s="1"/>
  <c r="J685" i="11"/>
  <c r="K685" i="11" s="1"/>
  <c r="J684" i="11"/>
  <c r="K684" i="11" s="1"/>
  <c r="J683" i="11"/>
  <c r="K683" i="11" s="1"/>
  <c r="J682" i="11"/>
  <c r="K682" i="11" s="1"/>
  <c r="J681" i="11"/>
  <c r="K681" i="11" s="1"/>
  <c r="J680" i="11"/>
  <c r="K680" i="11" s="1"/>
  <c r="J679" i="11"/>
  <c r="K679" i="11" s="1"/>
  <c r="J678" i="11"/>
  <c r="K678" i="11" s="1"/>
  <c r="J676" i="11"/>
  <c r="K676" i="11" s="1"/>
  <c r="J675" i="11"/>
  <c r="K675" i="11" s="1"/>
  <c r="J674" i="11"/>
  <c r="K674" i="11" s="1"/>
  <c r="J673" i="11"/>
  <c r="K673" i="11" s="1"/>
  <c r="J671" i="11"/>
  <c r="K671" i="11" s="1"/>
  <c r="J669" i="11"/>
  <c r="K669" i="11" s="1"/>
  <c r="J666" i="11"/>
  <c r="K666" i="11" s="1"/>
  <c r="J665" i="11"/>
  <c r="K665" i="11" s="1"/>
  <c r="J655" i="11"/>
  <c r="K655" i="11" s="1"/>
  <c r="J654" i="11"/>
  <c r="K654" i="11" s="1"/>
  <c r="J653" i="11"/>
  <c r="K653" i="11" s="1"/>
  <c r="J652" i="11"/>
  <c r="K652" i="11" s="1"/>
  <c r="J651" i="11"/>
  <c r="K651" i="11" s="1"/>
  <c r="J650" i="11"/>
  <c r="K650" i="11" s="1"/>
  <c r="J649" i="11"/>
  <c r="K649" i="11" s="1"/>
  <c r="J648" i="11"/>
  <c r="K648" i="11" s="1"/>
  <c r="J647" i="11"/>
  <c r="K647" i="11" s="1"/>
  <c r="J646" i="11"/>
  <c r="K646" i="11" s="1"/>
  <c r="J645" i="11"/>
  <c r="K645" i="11" s="1"/>
  <c r="J644" i="11"/>
  <c r="K644" i="11" s="1"/>
  <c r="J643" i="11"/>
  <c r="K643" i="11" s="1"/>
  <c r="J642" i="11"/>
  <c r="K642" i="11" s="1"/>
  <c r="J641" i="11"/>
  <c r="K641" i="11" s="1"/>
  <c r="J640" i="11"/>
  <c r="K640" i="11" s="1"/>
  <c r="J639" i="11"/>
  <c r="K639" i="11" s="1"/>
  <c r="J638" i="11"/>
  <c r="K638" i="11" s="1"/>
  <c r="J637" i="11"/>
  <c r="K637" i="11" s="1"/>
  <c r="J636" i="11"/>
  <c r="K636" i="11" s="1"/>
  <c r="J635" i="11"/>
  <c r="K635" i="11" s="1"/>
  <c r="J634" i="11"/>
  <c r="K634" i="11" s="1"/>
  <c r="J633" i="11"/>
  <c r="K633" i="11" s="1"/>
  <c r="J632" i="11"/>
  <c r="K632" i="11" s="1"/>
  <c r="J631" i="11"/>
  <c r="K631" i="11" s="1"/>
  <c r="J630" i="11"/>
  <c r="K630" i="11" s="1"/>
  <c r="J629" i="11"/>
  <c r="K629" i="11" s="1"/>
  <c r="J628" i="11"/>
  <c r="K628" i="11" s="1"/>
  <c r="J627" i="11"/>
  <c r="K627" i="11" s="1"/>
  <c r="J626" i="11"/>
  <c r="K626" i="11" s="1"/>
  <c r="J625" i="11"/>
  <c r="K625" i="11" s="1"/>
  <c r="J624" i="11"/>
  <c r="K624" i="11" s="1"/>
  <c r="J623" i="11"/>
  <c r="K623" i="11" s="1"/>
  <c r="J622" i="11"/>
  <c r="K622" i="11" s="1"/>
  <c r="J621" i="11"/>
  <c r="K621" i="11" s="1"/>
  <c r="J620" i="11"/>
  <c r="K620" i="11" s="1"/>
  <c r="J619" i="11"/>
  <c r="K619" i="11" s="1"/>
  <c r="J618" i="11"/>
  <c r="K618" i="11" s="1"/>
  <c r="J617" i="11"/>
  <c r="K617" i="11" s="1"/>
  <c r="J616" i="11"/>
  <c r="K616" i="11" s="1"/>
  <c r="J615" i="11"/>
  <c r="K615" i="11" s="1"/>
  <c r="J614" i="11"/>
  <c r="K614" i="11" s="1"/>
  <c r="J613" i="11"/>
  <c r="K613" i="11" s="1"/>
  <c r="J612" i="11"/>
  <c r="K612" i="11" s="1"/>
  <c r="J611" i="11"/>
  <c r="K611" i="11" s="1"/>
  <c r="J610" i="11"/>
  <c r="K610" i="11" s="1"/>
  <c r="J609" i="11"/>
  <c r="K609" i="11" s="1"/>
  <c r="J608" i="11"/>
  <c r="K608" i="11" s="1"/>
  <c r="J606" i="11"/>
  <c r="K606" i="11" s="1"/>
  <c r="J605" i="11"/>
  <c r="K605" i="11" s="1"/>
  <c r="J602" i="11"/>
  <c r="K602" i="11" s="1"/>
  <c r="J600" i="11"/>
  <c r="K600" i="11" s="1"/>
  <c r="J599" i="11"/>
  <c r="K599" i="11" s="1"/>
  <c r="J596" i="11"/>
  <c r="K596" i="11" s="1"/>
  <c r="K587" i="11"/>
  <c r="J587" i="11"/>
  <c r="K586" i="11"/>
  <c r="J586" i="11"/>
  <c r="K585" i="11"/>
  <c r="J585" i="11"/>
  <c r="K584" i="11"/>
  <c r="J584" i="11"/>
  <c r="K583" i="11"/>
  <c r="J583" i="11"/>
  <c r="K582" i="11"/>
  <c r="J582" i="11"/>
  <c r="K581" i="11"/>
  <c r="J581" i="11"/>
  <c r="K580" i="11"/>
  <c r="J580" i="11"/>
  <c r="K579" i="11"/>
  <c r="J579" i="11"/>
  <c r="K578" i="11"/>
  <c r="J578" i="11"/>
  <c r="K577" i="11"/>
  <c r="J577" i="11"/>
  <c r="K576" i="11"/>
  <c r="J576" i="11"/>
  <c r="K575" i="11"/>
  <c r="J575" i="11"/>
  <c r="K574" i="11"/>
  <c r="J574" i="11"/>
  <c r="K573" i="11"/>
  <c r="J573" i="11"/>
  <c r="K572" i="11"/>
  <c r="J572" i="11"/>
  <c r="K571" i="11"/>
  <c r="J571" i="11"/>
  <c r="K570" i="11"/>
  <c r="J570" i="11"/>
  <c r="J567" i="11"/>
  <c r="K567" i="11" s="1"/>
  <c r="K565" i="11"/>
  <c r="J565" i="11"/>
  <c r="K564" i="11"/>
  <c r="J564" i="11"/>
  <c r="K563" i="11"/>
  <c r="J563" i="11"/>
  <c r="K562" i="11"/>
  <c r="J562" i="11"/>
  <c r="K561" i="11"/>
  <c r="J561" i="11"/>
  <c r="K559" i="11"/>
  <c r="J559" i="11"/>
  <c r="K558" i="11"/>
  <c r="J558" i="11"/>
  <c r="K557" i="11"/>
  <c r="J557" i="11"/>
  <c r="J552" i="11"/>
  <c r="K552" i="11" s="1"/>
  <c r="J549" i="11"/>
  <c r="K549" i="11" s="1"/>
  <c r="J546" i="11"/>
  <c r="K546" i="11" s="1"/>
  <c r="J537" i="11"/>
  <c r="K537" i="11" s="1"/>
  <c r="J534" i="11"/>
  <c r="K534" i="11" s="1"/>
  <c r="J523" i="11"/>
  <c r="K523" i="11" s="1"/>
  <c r="J522" i="11"/>
  <c r="K522" i="11" s="1"/>
  <c r="J521" i="11"/>
  <c r="K521" i="11" s="1"/>
  <c r="J520" i="11"/>
  <c r="K520" i="11" s="1"/>
  <c r="J519" i="11"/>
  <c r="K519" i="11" s="1"/>
  <c r="J518" i="11"/>
  <c r="K518" i="11" s="1"/>
  <c r="J517" i="11"/>
  <c r="K517" i="11" s="1"/>
  <c r="J516" i="11"/>
  <c r="K516" i="11" s="1"/>
  <c r="J515" i="11"/>
  <c r="K515" i="11" s="1"/>
  <c r="J514" i="11"/>
  <c r="K514" i="11" s="1"/>
  <c r="J513" i="11"/>
  <c r="K513" i="11" s="1"/>
  <c r="J512" i="11"/>
  <c r="K512" i="11" s="1"/>
  <c r="J510" i="11"/>
  <c r="K510" i="11" s="1"/>
  <c r="J507" i="11"/>
  <c r="K507" i="11" s="1"/>
  <c r="J506" i="11"/>
  <c r="K506" i="11" s="1"/>
  <c r="J505" i="11"/>
  <c r="K505" i="11" s="1"/>
  <c r="J502" i="11"/>
  <c r="K502" i="11" s="1"/>
  <c r="J501" i="11"/>
  <c r="K501" i="11" s="1"/>
  <c r="J494" i="11"/>
  <c r="K494" i="11" s="1"/>
  <c r="J493" i="11"/>
  <c r="K493" i="11" s="1"/>
  <c r="J492" i="11"/>
  <c r="K492" i="11" s="1"/>
  <c r="J491" i="11"/>
  <c r="K491" i="11" s="1"/>
  <c r="J490" i="11"/>
  <c r="K490" i="11" s="1"/>
  <c r="J489" i="11"/>
  <c r="K489" i="11" s="1"/>
  <c r="J488" i="11"/>
  <c r="K488" i="11" s="1"/>
  <c r="J487" i="11"/>
  <c r="K487" i="11" s="1"/>
  <c r="J485" i="11"/>
  <c r="K485" i="11" s="1"/>
  <c r="J484" i="11"/>
  <c r="K484" i="11" s="1"/>
  <c r="J483" i="11"/>
  <c r="K483" i="11" s="1"/>
  <c r="J481" i="11"/>
  <c r="K481" i="11" s="1"/>
  <c r="J480" i="11"/>
  <c r="K480" i="11" s="1"/>
  <c r="J479" i="11"/>
  <c r="K479" i="11" s="1"/>
  <c r="J478" i="11"/>
  <c r="K478" i="11" s="1"/>
  <c r="J477" i="11"/>
  <c r="K477" i="11" s="1"/>
  <c r="J476" i="11"/>
  <c r="K476" i="11" s="1"/>
  <c r="J475" i="11"/>
  <c r="K475" i="11" s="1"/>
  <c r="J474" i="11"/>
  <c r="K474" i="11" s="1"/>
  <c r="J473" i="11"/>
  <c r="K473" i="11" s="1"/>
  <c r="J472" i="11"/>
  <c r="K472" i="11" s="1"/>
  <c r="J468" i="11"/>
  <c r="K468" i="11" s="1"/>
  <c r="J466" i="11"/>
  <c r="K466" i="11" s="1"/>
  <c r="J465" i="11"/>
  <c r="K465" i="11" s="1"/>
  <c r="J462" i="11"/>
  <c r="K462" i="11" s="1"/>
  <c r="J459" i="11"/>
  <c r="K459" i="11" s="1"/>
  <c r="J458" i="11"/>
  <c r="K458" i="11" s="1"/>
  <c r="K454" i="11"/>
  <c r="J450" i="11"/>
  <c r="K450" i="11" s="1"/>
  <c r="J449" i="11"/>
  <c r="K449" i="11" s="1"/>
  <c r="J448" i="11"/>
  <c r="K448" i="11" s="1"/>
  <c r="J446" i="11"/>
  <c r="K446" i="11"/>
  <c r="J444" i="11"/>
  <c r="K444" i="11"/>
  <c r="J442" i="11"/>
  <c r="K442" i="11"/>
  <c r="J441" i="11"/>
  <c r="K441" i="11"/>
  <c r="J438" i="11"/>
  <c r="K438" i="11"/>
  <c r="J437" i="11"/>
  <c r="K437" i="11"/>
  <c r="J426" i="11"/>
  <c r="K426" i="11"/>
  <c r="J425" i="11"/>
  <c r="K425" i="11"/>
  <c r="J424" i="11"/>
  <c r="K424" i="11"/>
  <c r="J423" i="11"/>
  <c r="K423" i="11"/>
  <c r="J422" i="11"/>
  <c r="K422" i="11"/>
  <c r="J409" i="11"/>
  <c r="K409" i="11" s="1"/>
  <c r="J408" i="11"/>
  <c r="K408" i="11"/>
  <c r="J407" i="11"/>
  <c r="K407" i="11"/>
  <c r="J406" i="11"/>
  <c r="K406" i="11"/>
  <c r="J402" i="11"/>
  <c r="K402" i="11"/>
  <c r="J400" i="11"/>
  <c r="K400" i="11"/>
  <c r="J398" i="11"/>
  <c r="K398" i="11"/>
  <c r="J397" i="11"/>
  <c r="K397" i="11"/>
  <c r="J394" i="11"/>
  <c r="K394" i="11"/>
  <c r="J393" i="11"/>
  <c r="K393" i="11"/>
  <c r="J392" i="11"/>
  <c r="K392" i="11"/>
  <c r="J391" i="11"/>
  <c r="K391" i="11"/>
  <c r="J389" i="11"/>
  <c r="K389" i="11"/>
  <c r="J386" i="11"/>
  <c r="K386" i="11"/>
  <c r="J384" i="11"/>
  <c r="K384" i="11"/>
  <c r="J383" i="11"/>
  <c r="K383" i="11"/>
  <c r="J380" i="11"/>
  <c r="K380" i="11"/>
  <c r="J379" i="11"/>
  <c r="K379" i="11"/>
  <c r="J372" i="11"/>
  <c r="K372" i="11"/>
  <c r="J370" i="11"/>
  <c r="K370" i="11"/>
  <c r="J369" i="11"/>
  <c r="K369" i="11"/>
  <c r="J368" i="11"/>
  <c r="K368" i="11"/>
  <c r="J367" i="11"/>
  <c r="K367" i="11"/>
  <c r="J366" i="11"/>
  <c r="K366" i="11"/>
  <c r="J365" i="11"/>
  <c r="K365" i="11"/>
  <c r="J364" i="11"/>
  <c r="K364" i="11"/>
  <c r="J363" i="11"/>
  <c r="K363" i="11"/>
  <c r="J361" i="11"/>
  <c r="K361" i="11"/>
  <c r="J358" i="11"/>
  <c r="K358" i="11" s="1"/>
  <c r="K349" i="11" s="1"/>
  <c r="K27" i="10" s="1"/>
  <c r="Q27" i="47" s="1"/>
  <c r="J357" i="11"/>
  <c r="K357" i="11"/>
  <c r="J354" i="11"/>
  <c r="K354" i="11"/>
  <c r="J353" i="11"/>
  <c r="K353" i="11"/>
  <c r="J346" i="11"/>
  <c r="K346" i="11" s="1"/>
  <c r="J345" i="11"/>
  <c r="K345" i="11" s="1"/>
  <c r="J344" i="11"/>
  <c r="K344" i="11" s="1"/>
  <c r="J343" i="11"/>
  <c r="K343" i="11" s="1"/>
  <c r="J342" i="11"/>
  <c r="K342" i="11" s="1"/>
  <c r="J341" i="11"/>
  <c r="K341" i="11" s="1"/>
  <c r="J340" i="11"/>
  <c r="K340" i="11" s="1"/>
  <c r="J339" i="11"/>
  <c r="K339" i="11" s="1"/>
  <c r="J338" i="11"/>
  <c r="K338" i="11" s="1"/>
  <c r="J337" i="11"/>
  <c r="K337" i="11" s="1"/>
  <c r="J336" i="11"/>
  <c r="K336" i="11" s="1"/>
  <c r="J335" i="11"/>
  <c r="K335" i="11" s="1"/>
  <c r="J334" i="11"/>
  <c r="K334" i="11" s="1"/>
  <c r="J333" i="11"/>
  <c r="K333" i="11" s="1"/>
  <c r="J332" i="11"/>
  <c r="K332" i="11" s="1"/>
  <c r="J331" i="11"/>
  <c r="K331" i="11" s="1"/>
  <c r="J330" i="11"/>
  <c r="K330" i="11" s="1"/>
  <c r="J329" i="11"/>
  <c r="K329" i="11" s="1"/>
  <c r="J327" i="11"/>
  <c r="K327" i="11" s="1"/>
  <c r="J326" i="11"/>
  <c r="K326" i="11" s="1"/>
  <c r="J325" i="11"/>
  <c r="K325" i="11" s="1"/>
  <c r="J324" i="11"/>
  <c r="K324" i="11" s="1"/>
  <c r="J323" i="11"/>
  <c r="K323" i="11" s="1"/>
  <c r="J322" i="11"/>
  <c r="K322" i="11" s="1"/>
  <c r="J321" i="11"/>
  <c r="K321" i="11" s="1"/>
  <c r="J320" i="11"/>
  <c r="K320" i="11" s="1"/>
  <c r="J319" i="11"/>
  <c r="K319" i="11" s="1"/>
  <c r="J318" i="11"/>
  <c r="K318" i="11" s="1"/>
  <c r="J317" i="11"/>
  <c r="K317" i="11" s="1"/>
  <c r="J316" i="11"/>
  <c r="K316" i="11" s="1"/>
  <c r="J315" i="11"/>
  <c r="K315" i="11" s="1"/>
  <c r="J308" i="11"/>
  <c r="K308" i="11" s="1"/>
  <c r="J307" i="11"/>
  <c r="K307" i="11" s="1"/>
  <c r="J306" i="11"/>
  <c r="K306" i="11" s="1"/>
  <c r="J298" i="11"/>
  <c r="K298" i="11" s="1"/>
  <c r="J295" i="11"/>
  <c r="K295" i="11" s="1"/>
  <c r="J292" i="11"/>
  <c r="K292" i="11" s="1"/>
  <c r="J283" i="11"/>
  <c r="K283" i="11" s="1"/>
  <c r="J282" i="11"/>
  <c r="K282" i="11" s="1"/>
  <c r="J281" i="11"/>
  <c r="K281" i="11" s="1"/>
  <c r="J280" i="11"/>
  <c r="K280" i="11" s="1"/>
  <c r="J279" i="11"/>
  <c r="K279" i="11" s="1"/>
  <c r="J278" i="11"/>
  <c r="K278" i="11" s="1"/>
  <c r="J277" i="11"/>
  <c r="K277" i="11" s="1"/>
  <c r="J276" i="11"/>
  <c r="K276" i="11" s="1"/>
  <c r="J275" i="11"/>
  <c r="K275" i="11" s="1"/>
  <c r="J274" i="11"/>
  <c r="K274" i="11" s="1"/>
  <c r="J273" i="11"/>
  <c r="K273" i="11" s="1"/>
  <c r="J272" i="11"/>
  <c r="K272" i="11" s="1"/>
  <c r="J271" i="11"/>
  <c r="K271" i="11" s="1"/>
  <c r="J269" i="11"/>
  <c r="K269" i="11" s="1"/>
  <c r="J268" i="11"/>
  <c r="K268" i="11" s="1"/>
  <c r="J267" i="11"/>
  <c r="K267" i="11" s="1"/>
  <c r="J264" i="11"/>
  <c r="K264" i="11" s="1"/>
  <c r="J263" i="11"/>
  <c r="K263" i="11" s="1"/>
  <c r="J261" i="11"/>
  <c r="K261" i="11" s="1"/>
  <c r="J260" i="11"/>
  <c r="K260" i="11" s="1"/>
  <c r="J257" i="11"/>
  <c r="K257" i="11" s="1"/>
  <c r="J256" i="11"/>
  <c r="K256" i="11" s="1"/>
  <c r="J246" i="11"/>
  <c r="K246" i="11" s="1"/>
  <c r="J245" i="11"/>
  <c r="K245" i="11" s="1"/>
  <c r="K217" i="11" s="1"/>
  <c r="K244" i="11"/>
  <c r="J244" i="11"/>
  <c r="K243" i="11"/>
  <c r="J243" i="11"/>
  <c r="K242" i="11"/>
  <c r="J242" i="11"/>
  <c r="K241" i="11"/>
  <c r="J241" i="11"/>
  <c r="K240" i="11"/>
  <c r="J240" i="11"/>
  <c r="K239" i="11"/>
  <c r="J239" i="11"/>
  <c r="K238" i="11"/>
  <c r="J238" i="11"/>
  <c r="K237" i="11"/>
  <c r="J237" i="11"/>
  <c r="K236" i="11"/>
  <c r="J236" i="11"/>
  <c r="K235" i="11"/>
  <c r="J235" i="11"/>
  <c r="K233" i="11"/>
  <c r="J233" i="11"/>
  <c r="K232" i="11"/>
  <c r="J232" i="11"/>
  <c r="K231" i="11"/>
  <c r="J231" i="11"/>
  <c r="K230" i="11"/>
  <c r="J230" i="11"/>
  <c r="K226" i="11"/>
  <c r="J226" i="11"/>
  <c r="K225" i="11"/>
  <c r="J225" i="11"/>
  <c r="K222" i="11"/>
  <c r="J222" i="11"/>
  <c r="K221" i="11"/>
  <c r="J221" i="11"/>
  <c r="J215" i="11"/>
  <c r="K215" i="11" s="1"/>
  <c r="J214" i="11"/>
  <c r="K214" i="11" s="1"/>
  <c r="J213" i="11"/>
  <c r="K213" i="11" s="1"/>
  <c r="J212" i="11"/>
  <c r="K212" i="11" s="1"/>
  <c r="J211" i="11"/>
  <c r="K211" i="11" s="1"/>
  <c r="J210" i="11"/>
  <c r="K210" i="11" s="1"/>
  <c r="J209" i="11"/>
  <c r="K209" i="11" s="1"/>
  <c r="J208" i="11"/>
  <c r="K208" i="11" s="1"/>
  <c r="J207" i="11"/>
  <c r="K207" i="11" s="1"/>
  <c r="J206" i="11"/>
  <c r="K206" i="11" s="1"/>
  <c r="J205" i="11"/>
  <c r="K205" i="11" s="1"/>
  <c r="J204" i="11"/>
  <c r="K204" i="11" s="1"/>
  <c r="J203" i="11"/>
  <c r="K203" i="11" s="1"/>
  <c r="J202" i="11"/>
  <c r="K202" i="11" s="1"/>
  <c r="J201" i="11"/>
  <c r="K201" i="11" s="1"/>
  <c r="J200" i="11"/>
  <c r="K200" i="11" s="1"/>
  <c r="J199" i="11"/>
  <c r="K199" i="11" s="1"/>
  <c r="J198" i="11"/>
  <c r="K198" i="11" s="1"/>
  <c r="J197" i="11"/>
  <c r="K197" i="11" s="1"/>
  <c r="J196" i="11"/>
  <c r="K196" i="11" s="1"/>
  <c r="J195" i="11"/>
  <c r="K195" i="11" s="1"/>
  <c r="J194" i="11"/>
  <c r="K194" i="11" s="1"/>
  <c r="J193" i="11"/>
  <c r="K193" i="11" s="1"/>
  <c r="J191" i="11"/>
  <c r="K191" i="11" s="1"/>
  <c r="J190" i="11"/>
  <c r="K190" i="11" s="1"/>
  <c r="J189" i="11"/>
  <c r="K189" i="11" s="1"/>
  <c r="J188" i="11"/>
  <c r="K188" i="11" s="1"/>
  <c r="J187" i="11"/>
  <c r="K187" i="11" s="1"/>
  <c r="J186" i="11"/>
  <c r="K186" i="11" s="1"/>
  <c r="J185" i="11"/>
  <c r="K185" i="11" s="1"/>
  <c r="J184" i="11"/>
  <c r="K184" i="11" s="1"/>
  <c r="J183" i="11"/>
  <c r="K183" i="11" s="1"/>
  <c r="J182" i="11"/>
  <c r="K182" i="11" s="1"/>
  <c r="J181" i="11"/>
  <c r="K181" i="11" s="1"/>
  <c r="J180" i="11"/>
  <c r="K180" i="11" s="1"/>
  <c r="J179" i="11"/>
  <c r="K179" i="11" s="1"/>
  <c r="J178" i="11"/>
  <c r="K178" i="11" s="1"/>
  <c r="J177" i="11"/>
  <c r="K177" i="11" s="1"/>
  <c r="J175" i="11"/>
  <c r="K175" i="11" s="1"/>
  <c r="J174" i="11"/>
  <c r="K174" i="11" s="1"/>
  <c r="J173" i="11"/>
  <c r="K173" i="11" s="1"/>
  <c r="J172" i="11"/>
  <c r="K172" i="11" s="1"/>
  <c r="J171" i="11"/>
  <c r="K171" i="11" s="1"/>
  <c r="J170" i="11"/>
  <c r="K170" i="11" s="1"/>
  <c r="J169" i="11"/>
  <c r="K169" i="11" s="1"/>
  <c r="J167" i="11"/>
  <c r="K167" i="11" s="1"/>
  <c r="J166" i="11"/>
  <c r="K166" i="11" s="1"/>
  <c r="J165" i="11"/>
  <c r="K165" i="11" s="1"/>
  <c r="J164" i="11"/>
  <c r="K164" i="11" s="1"/>
  <c r="J163" i="11"/>
  <c r="K163" i="11" s="1"/>
  <c r="J149" i="11"/>
  <c r="K149" i="11" s="1"/>
  <c r="J148" i="11"/>
  <c r="K148" i="11" s="1"/>
  <c r="J146" i="11"/>
  <c r="K146" i="11" s="1"/>
  <c r="K143" i="11"/>
  <c r="K19" i="9" s="1"/>
  <c r="J139" i="11"/>
  <c r="K139" i="11" s="1"/>
  <c r="J138" i="11"/>
  <c r="K138" i="11" s="1"/>
  <c r="J137" i="11"/>
  <c r="K137" i="11" s="1"/>
  <c r="J131" i="11"/>
  <c r="K131" i="11" s="1"/>
  <c r="J130" i="11"/>
  <c r="K130" i="11" s="1"/>
  <c r="J129" i="11"/>
  <c r="K129" i="11" s="1"/>
  <c r="J128" i="11"/>
  <c r="K128" i="11" s="1"/>
  <c r="J127" i="11"/>
  <c r="K127" i="11" s="1"/>
  <c r="J126" i="11"/>
  <c r="K126" i="11" s="1"/>
  <c r="J125" i="11"/>
  <c r="K125" i="11" s="1"/>
  <c r="J124" i="11"/>
  <c r="K124" i="11" s="1"/>
  <c r="J122" i="11"/>
  <c r="J107" i="11"/>
  <c r="K107" i="11" s="1"/>
  <c r="J106" i="11"/>
  <c r="K106" i="11" s="1"/>
  <c r="J97" i="11"/>
  <c r="K97" i="11" s="1"/>
  <c r="J96" i="11"/>
  <c r="K96" i="11" s="1"/>
  <c r="J95" i="11"/>
  <c r="K95" i="11" s="1"/>
  <c r="J94" i="11"/>
  <c r="K94" i="11" s="1"/>
  <c r="J93" i="11"/>
  <c r="K93" i="11" s="1"/>
  <c r="J91" i="11"/>
  <c r="K91" i="11" s="1"/>
  <c r="J90" i="11"/>
  <c r="K90" i="11" s="1"/>
  <c r="J89" i="11"/>
  <c r="K89" i="11" s="1"/>
  <c r="J88" i="11"/>
  <c r="J87" i="11"/>
  <c r="K87" i="11"/>
  <c r="J86" i="11"/>
  <c r="K86" i="11"/>
  <c r="J82" i="11"/>
  <c r="J78" i="11"/>
  <c r="K78" i="11" s="1"/>
  <c r="J77" i="11"/>
  <c r="K77" i="11" s="1"/>
  <c r="J66" i="11"/>
  <c r="K66" i="11" s="1"/>
  <c r="J65" i="11"/>
  <c r="K65" i="11" s="1"/>
  <c r="J64" i="11"/>
  <c r="K64" i="11" s="1"/>
  <c r="J63" i="11"/>
  <c r="K63" i="11" s="1"/>
  <c r="J62" i="11"/>
  <c r="K62" i="11" s="1"/>
  <c r="J61" i="11"/>
  <c r="K61" i="11" s="1"/>
  <c r="J58" i="11"/>
  <c r="K58" i="11" s="1"/>
  <c r="J57" i="11"/>
  <c r="K57" i="11" s="1"/>
  <c r="J56" i="11"/>
  <c r="K56" i="11" s="1"/>
  <c r="J54" i="11"/>
  <c r="K54" i="11" s="1"/>
  <c r="J53" i="11"/>
  <c r="K53" i="11" s="1"/>
  <c r="K52" i="11"/>
  <c r="J52" i="11"/>
  <c r="K51" i="11"/>
  <c r="J51" i="11"/>
  <c r="K50" i="11"/>
  <c r="J50" i="11"/>
  <c r="K47" i="11"/>
  <c r="J47" i="11"/>
  <c r="K46" i="11"/>
  <c r="J46" i="11"/>
  <c r="K45" i="11"/>
  <c r="J45" i="11"/>
  <c r="K44" i="11"/>
  <c r="J44" i="11"/>
  <c r="K40" i="11"/>
  <c r="J40" i="11"/>
  <c r="K242" i="14"/>
  <c r="L242" i="14" s="1"/>
  <c r="K241" i="14"/>
  <c r="L241" i="14" s="1"/>
  <c r="K240" i="14"/>
  <c r="L240" i="14" s="1"/>
  <c r="K239" i="14"/>
  <c r="L239" i="14" s="1"/>
  <c r="K245" i="14"/>
  <c r="L245" i="14" s="1"/>
  <c r="Q31" i="21"/>
  <c r="P32" i="21"/>
  <c r="O34" i="21"/>
  <c r="N36" i="21"/>
  <c r="M34" i="21"/>
  <c r="M36" i="21" s="1"/>
  <c r="L34" i="21"/>
  <c r="L31" i="21"/>
  <c r="K34" i="21"/>
  <c r="K31" i="21"/>
  <c r="R31" i="21" s="1"/>
  <c r="J31" i="21"/>
  <c r="J36" i="21"/>
  <c r="E34" i="21"/>
  <c r="E36" i="21" s="1"/>
  <c r="D34" i="21"/>
  <c r="C34" i="21"/>
  <c r="C33" i="21"/>
  <c r="R33" i="21" s="1"/>
  <c r="C27" i="21"/>
  <c r="C26" i="21"/>
  <c r="R26" i="21" s="1"/>
  <c r="P18" i="21"/>
  <c r="R18" i="21" s="1"/>
  <c r="P16" i="21"/>
  <c r="O19" i="21"/>
  <c r="O17" i="21"/>
  <c r="R17" i="21" s="1"/>
  <c r="O12" i="21"/>
  <c r="O22" i="21" s="1"/>
  <c r="M19" i="21"/>
  <c r="K19" i="21"/>
  <c r="K20" i="21"/>
  <c r="K8" i="21"/>
  <c r="K22" i="21" s="1"/>
  <c r="J39" i="21"/>
  <c r="I19" i="21"/>
  <c r="I20" i="21"/>
  <c r="I10" i="21"/>
  <c r="G39" i="21"/>
  <c r="R39" i="21" s="1"/>
  <c r="G19" i="21"/>
  <c r="R19" i="21" s="1"/>
  <c r="F20" i="21"/>
  <c r="R20" i="21" s="1"/>
  <c r="F14" i="21"/>
  <c r="F13" i="21"/>
  <c r="R13" i="21" s="1"/>
  <c r="J133" i="20"/>
  <c r="K133" i="20" s="1"/>
  <c r="L133" i="20" s="1"/>
  <c r="J132" i="20"/>
  <c r="K132" i="20" s="1"/>
  <c r="L132" i="20" s="1"/>
  <c r="J131" i="20"/>
  <c r="K131" i="20" s="1"/>
  <c r="L131" i="20" s="1"/>
  <c r="J129" i="20"/>
  <c r="K129" i="20" s="1"/>
  <c r="L129" i="20" s="1"/>
  <c r="J128" i="20"/>
  <c r="K128" i="20" s="1"/>
  <c r="L128" i="20" s="1"/>
  <c r="J92" i="20"/>
  <c r="J83" i="20"/>
  <c r="K83" i="20" s="1"/>
  <c r="J27" i="12"/>
  <c r="O27" i="46" s="1"/>
  <c r="N27" i="46" s="1"/>
  <c r="J17" i="20"/>
  <c r="J14" i="12"/>
  <c r="J27" i="20"/>
  <c r="K27" i="20" s="1"/>
  <c r="L27" i="20" s="1"/>
  <c r="L30" i="20" s="1"/>
  <c r="L10" i="12" s="1"/>
  <c r="Q10" i="46" s="1"/>
  <c r="J39" i="12"/>
  <c r="J19" i="12"/>
  <c r="O19" i="46"/>
  <c r="N19" i="46" s="1"/>
  <c r="J18" i="12"/>
  <c r="J17" i="12"/>
  <c r="O17" i="46" s="1"/>
  <c r="N17" i="46" s="1"/>
  <c r="J13" i="12"/>
  <c r="K13" i="12" s="1"/>
  <c r="P13" i="46" s="1"/>
  <c r="J16" i="12"/>
  <c r="O16" i="46" s="1"/>
  <c r="N16" i="46" s="1"/>
  <c r="F35" i="44"/>
  <c r="I9" i="44"/>
  <c r="I10" i="44"/>
  <c r="I7" i="44"/>
  <c r="E10" i="64"/>
  <c r="J10" i="64"/>
  <c r="L10" i="64"/>
  <c r="E11" i="64"/>
  <c r="J11" i="64"/>
  <c r="L11" i="64"/>
  <c r="E12" i="64"/>
  <c r="J12" i="64"/>
  <c r="L12" i="64"/>
  <c r="E13" i="64"/>
  <c r="J13" i="64"/>
  <c r="L13" i="64"/>
  <c r="E14" i="64"/>
  <c r="J14" i="64"/>
  <c r="L14" i="64"/>
  <c r="E15" i="64"/>
  <c r="J15" i="64"/>
  <c r="L15" i="64"/>
  <c r="E16" i="64"/>
  <c r="J16" i="64"/>
  <c r="L16" i="64"/>
  <c r="E17" i="64"/>
  <c r="J17" i="64"/>
  <c r="L17" i="64"/>
  <c r="E18" i="64"/>
  <c r="J18" i="64"/>
  <c r="L18" i="64"/>
  <c r="E19" i="64"/>
  <c r="J19" i="64"/>
  <c r="L19" i="64"/>
  <c r="I20" i="64"/>
  <c r="E21" i="64"/>
  <c r="J21" i="64"/>
  <c r="L21" i="64"/>
  <c r="E22" i="64"/>
  <c r="J22" i="64"/>
  <c r="L22" i="64"/>
  <c r="E23" i="64"/>
  <c r="J23" i="64"/>
  <c r="L23" i="64"/>
  <c r="E24" i="64"/>
  <c r="J24" i="64"/>
  <c r="L24" i="64"/>
  <c r="E25" i="64"/>
  <c r="J25" i="64"/>
  <c r="L25" i="64"/>
  <c r="E26" i="64"/>
  <c r="J26" i="64"/>
  <c r="L26" i="64"/>
  <c r="E27" i="64"/>
  <c r="J27" i="64"/>
  <c r="L27" i="64"/>
  <c r="E28" i="64"/>
  <c r="J28" i="64"/>
  <c r="L28" i="64"/>
  <c r="E29" i="64"/>
  <c r="J29" i="64"/>
  <c r="L29" i="64"/>
  <c r="E30" i="64"/>
  <c r="J30" i="64"/>
  <c r="L30" i="64"/>
  <c r="E31" i="64"/>
  <c r="J31" i="64"/>
  <c r="L31" i="64"/>
  <c r="E32" i="64"/>
  <c r="J32" i="64"/>
  <c r="L32" i="64"/>
  <c r="E33" i="64"/>
  <c r="J33" i="64"/>
  <c r="L33" i="64"/>
  <c r="E34" i="64"/>
  <c r="J34" i="64"/>
  <c r="L34" i="64"/>
  <c r="E35" i="64"/>
  <c r="J35" i="64"/>
  <c r="L35" i="64"/>
  <c r="E37" i="64"/>
  <c r="J37" i="64"/>
  <c r="L37" i="64"/>
  <c r="E38" i="64"/>
  <c r="J38" i="64"/>
  <c r="L38" i="64"/>
  <c r="E39" i="64"/>
  <c r="J39" i="64"/>
  <c r="L39" i="64"/>
  <c r="E40" i="64"/>
  <c r="J40" i="64"/>
  <c r="L40" i="64"/>
  <c r="E41" i="64"/>
  <c r="J41" i="64"/>
  <c r="L41" i="64"/>
  <c r="E42" i="64"/>
  <c r="J42" i="64"/>
  <c r="L42" i="64"/>
  <c r="E43" i="64"/>
  <c r="J43" i="64"/>
  <c r="L43" i="64"/>
  <c r="E44" i="64"/>
  <c r="J44" i="64"/>
  <c r="L44" i="64"/>
  <c r="E45" i="64"/>
  <c r="J45" i="64"/>
  <c r="L45" i="64"/>
  <c r="E46" i="64"/>
  <c r="J46" i="64"/>
  <c r="L46" i="64"/>
  <c r="E47" i="64"/>
  <c r="J47" i="64"/>
  <c r="L47" i="64"/>
  <c r="E48" i="64"/>
  <c r="J48" i="64"/>
  <c r="L48" i="64"/>
  <c r="E49" i="64"/>
  <c r="J49" i="64"/>
  <c r="L49" i="64"/>
  <c r="E50" i="64"/>
  <c r="J50" i="64"/>
  <c r="L50" i="64"/>
  <c r="E51" i="64"/>
  <c r="J51" i="64"/>
  <c r="L51" i="64"/>
  <c r="E52" i="64"/>
  <c r="J52" i="64"/>
  <c r="L52" i="64"/>
  <c r="E53" i="64"/>
  <c r="J53" i="64"/>
  <c r="L53" i="64"/>
  <c r="I54" i="64"/>
  <c r="E56" i="64"/>
  <c r="J56" i="64"/>
  <c r="L56" i="64"/>
  <c r="E57" i="64"/>
  <c r="J57" i="64"/>
  <c r="L57" i="64"/>
  <c r="E58" i="64"/>
  <c r="J58" i="64"/>
  <c r="L58" i="64"/>
  <c r="E59" i="64"/>
  <c r="J59" i="64"/>
  <c r="L59" i="64"/>
  <c r="E60" i="64"/>
  <c r="J60" i="64"/>
  <c r="L60" i="64"/>
  <c r="E61" i="64"/>
  <c r="J61" i="64"/>
  <c r="L61" i="64"/>
  <c r="E62" i="64"/>
  <c r="J62" i="64"/>
  <c r="L62" i="64"/>
  <c r="E63" i="64"/>
  <c r="J63" i="64"/>
  <c r="L63" i="64"/>
  <c r="E64" i="64"/>
  <c r="J64" i="64"/>
  <c r="L64" i="64"/>
  <c r="E65" i="64"/>
  <c r="J65" i="64"/>
  <c r="L65" i="64"/>
  <c r="E66" i="64"/>
  <c r="J66" i="64"/>
  <c r="L66" i="64"/>
  <c r="E67" i="64"/>
  <c r="J67" i="64"/>
  <c r="L67" i="64"/>
  <c r="E68" i="64"/>
  <c r="J68" i="64"/>
  <c r="L68" i="64"/>
  <c r="E69" i="64"/>
  <c r="J69" i="64"/>
  <c r="L69" i="64"/>
  <c r="E70" i="64"/>
  <c r="J70" i="64"/>
  <c r="L70" i="64"/>
  <c r="E71" i="64"/>
  <c r="J71" i="64"/>
  <c r="L71" i="64"/>
  <c r="E72" i="64"/>
  <c r="J72" i="64"/>
  <c r="L72" i="64"/>
  <c r="E73" i="64"/>
  <c r="J73" i="64"/>
  <c r="L73" i="64"/>
  <c r="E74" i="64"/>
  <c r="J74" i="64"/>
  <c r="L74" i="64"/>
  <c r="E75" i="64"/>
  <c r="J75" i="64"/>
  <c r="L75" i="64"/>
  <c r="I76" i="64"/>
  <c r="L76" i="64"/>
  <c r="B2" i="63"/>
  <c r="D2" i="63"/>
  <c r="D3" i="63"/>
  <c r="E3" i="63"/>
  <c r="A4" i="63"/>
  <c r="B4" i="63"/>
  <c r="D4" i="63"/>
  <c r="E4" i="63"/>
  <c r="F4" i="63"/>
  <c r="G4" i="63"/>
  <c r="H4" i="63"/>
  <c r="A5" i="63"/>
  <c r="B5" i="63"/>
  <c r="E5" i="63"/>
  <c r="F5" i="63"/>
  <c r="G5" i="63"/>
  <c r="A6" i="63"/>
  <c r="B6" i="63"/>
  <c r="E6" i="63"/>
  <c r="F6" i="63"/>
  <c r="G6" i="63"/>
  <c r="A7" i="63"/>
  <c r="B7" i="63"/>
  <c r="E7" i="63"/>
  <c r="F7" i="63"/>
  <c r="G7" i="63"/>
  <c r="A8" i="63"/>
  <c r="B8" i="63"/>
  <c r="E8" i="63"/>
  <c r="F8" i="63"/>
  <c r="G8" i="63"/>
  <c r="A9" i="63"/>
  <c r="B9" i="63"/>
  <c r="C9" i="63"/>
  <c r="E9" i="63"/>
  <c r="F9" i="63"/>
  <c r="G9" i="63"/>
  <c r="A10" i="63"/>
  <c r="C10" i="63"/>
  <c r="E10" i="63"/>
  <c r="F10" i="63"/>
  <c r="G10" i="63"/>
  <c r="A11" i="63"/>
  <c r="B11" i="63"/>
  <c r="E11" i="63"/>
  <c r="F11" i="63"/>
  <c r="G11" i="63"/>
  <c r="A12" i="63"/>
  <c r="B12" i="63"/>
  <c r="E12" i="63"/>
  <c r="F12" i="63"/>
  <c r="G12" i="63"/>
  <c r="A13" i="63"/>
  <c r="B13" i="63"/>
  <c r="D13" i="63"/>
  <c r="F13" i="63"/>
  <c r="G13" i="63"/>
  <c r="A14" i="63"/>
  <c r="B14" i="63"/>
  <c r="D14" i="63"/>
  <c r="F14" i="63"/>
  <c r="G14" i="63"/>
  <c r="A15" i="63"/>
  <c r="B15" i="63"/>
  <c r="D15" i="63"/>
  <c r="F15" i="63"/>
  <c r="G15" i="63"/>
  <c r="A16" i="63"/>
  <c r="B16" i="63"/>
  <c r="D16" i="63"/>
  <c r="E16" i="63"/>
  <c r="F16" i="63"/>
  <c r="G16" i="63"/>
  <c r="A17" i="63"/>
  <c r="B17" i="63"/>
  <c r="E17" i="63"/>
  <c r="F17" i="63"/>
  <c r="G17" i="63"/>
  <c r="A18" i="63"/>
  <c r="B18" i="63"/>
  <c r="D18" i="63"/>
  <c r="F18" i="63"/>
  <c r="B19" i="63"/>
  <c r="D19" i="63"/>
  <c r="E19" i="63"/>
  <c r="F19" i="63"/>
  <c r="G19" i="63"/>
  <c r="B20" i="63"/>
  <c r="C20" i="63"/>
  <c r="E20" i="63"/>
  <c r="F20" i="63"/>
  <c r="G20" i="63"/>
  <c r="C21" i="63"/>
  <c r="D21" i="63"/>
  <c r="F21" i="63"/>
  <c r="C22" i="63"/>
  <c r="D22" i="63"/>
  <c r="E22" i="63"/>
  <c r="F22" i="63"/>
  <c r="G22" i="63"/>
  <c r="B23" i="63"/>
  <c r="E23" i="63"/>
  <c r="F23" i="63"/>
  <c r="G23" i="63"/>
  <c r="B24" i="63"/>
  <c r="E24" i="63"/>
  <c r="F24" i="63"/>
  <c r="G24" i="63"/>
  <c r="B25" i="63"/>
  <c r="E25" i="63"/>
  <c r="F25" i="63"/>
  <c r="G25" i="63"/>
  <c r="B26" i="63"/>
  <c r="D26" i="63"/>
  <c r="F26" i="63"/>
  <c r="G26" i="63"/>
  <c r="B27" i="63"/>
  <c r="D27" i="63"/>
  <c r="E27" i="63"/>
  <c r="F27" i="63"/>
  <c r="G27" i="63"/>
  <c r="B28" i="63"/>
  <c r="E28" i="63"/>
  <c r="F28" i="63"/>
  <c r="G28" i="63"/>
  <c r="E29" i="63"/>
  <c r="F29" i="63"/>
  <c r="G29" i="63"/>
  <c r="E30" i="63"/>
  <c r="F30" i="63"/>
  <c r="G30" i="63"/>
  <c r="E31" i="63"/>
  <c r="F31" i="63"/>
  <c r="G31" i="63"/>
  <c r="D32" i="63"/>
  <c r="F32" i="63"/>
  <c r="G32" i="63"/>
  <c r="F33" i="63"/>
  <c r="G33" i="63"/>
  <c r="F34" i="63"/>
  <c r="F35" i="63"/>
  <c r="F36" i="63"/>
  <c r="F37" i="63"/>
  <c r="A3" i="62"/>
  <c r="B3" i="62"/>
  <c r="D4" i="62"/>
  <c r="E4" i="62"/>
  <c r="F4" i="62"/>
  <c r="G4" i="62"/>
  <c r="H4" i="62"/>
  <c r="I4" i="62"/>
  <c r="A9" i="62"/>
  <c r="D10" i="62"/>
  <c r="E10" i="62"/>
  <c r="F10" i="62"/>
  <c r="G10" i="62"/>
  <c r="H10" i="62"/>
  <c r="I10" i="62"/>
  <c r="J10" i="62"/>
  <c r="K10" i="62"/>
  <c r="D12" i="62"/>
  <c r="E12" i="62"/>
  <c r="F12" i="62"/>
  <c r="G12" i="62"/>
  <c r="H12" i="62"/>
  <c r="I12" i="62"/>
  <c r="J12" i="62"/>
  <c r="D18" i="62"/>
  <c r="E18" i="62"/>
  <c r="E17" i="62" s="1"/>
  <c r="F18" i="62"/>
  <c r="G18" i="62"/>
  <c r="G17" i="62" s="1"/>
  <c r="H18" i="62"/>
  <c r="I18" i="62"/>
  <c r="I17" i="62" s="1"/>
  <c r="J18" i="62"/>
  <c r="D19" i="62"/>
  <c r="D17" i="62" s="1"/>
  <c r="E19" i="62"/>
  <c r="F19" i="62"/>
  <c r="F17" i="62" s="1"/>
  <c r="G19" i="62"/>
  <c r="H19" i="62"/>
  <c r="H17" i="62" s="1"/>
  <c r="I19" i="62"/>
  <c r="J19" i="62"/>
  <c r="J17" i="62" s="1"/>
  <c r="D22" i="62"/>
  <c r="E22" i="62"/>
  <c r="F22" i="62"/>
  <c r="G22" i="62"/>
  <c r="H22" i="62"/>
  <c r="I22" i="62"/>
  <c r="J22" i="62"/>
  <c r="D24" i="62"/>
  <c r="E24" i="62"/>
  <c r="F24" i="62"/>
  <c r="G24" i="62"/>
  <c r="G23" i="62" s="1"/>
  <c r="H24" i="62"/>
  <c r="I24" i="62"/>
  <c r="J24" i="62"/>
  <c r="D25" i="62"/>
  <c r="E25" i="62"/>
  <c r="F25" i="62"/>
  <c r="G25" i="62"/>
  <c r="H25" i="62"/>
  <c r="I25" i="62"/>
  <c r="J25" i="62"/>
  <c r="F26" i="62"/>
  <c r="F23" i="62" s="1"/>
  <c r="J26" i="62"/>
  <c r="J23" i="62" s="1"/>
  <c r="G27" i="62"/>
  <c r="D29" i="62"/>
  <c r="D27" i="62" s="1"/>
  <c r="E29" i="62"/>
  <c r="E27" i="62" s="1"/>
  <c r="F29" i="62"/>
  <c r="F27" i="62" s="1"/>
  <c r="G29" i="62"/>
  <c r="H29" i="62"/>
  <c r="H27" i="62" s="1"/>
  <c r="I29" i="62"/>
  <c r="I27" i="62" s="1"/>
  <c r="J29" i="62"/>
  <c r="J27" i="62" s="1"/>
  <c r="D36" i="62"/>
  <c r="E36" i="62"/>
  <c r="F36" i="62"/>
  <c r="G36" i="62"/>
  <c r="H36" i="62"/>
  <c r="I36" i="62"/>
  <c r="J36" i="62"/>
  <c r="K36" i="62"/>
  <c r="A38" i="62"/>
  <c r="A40" i="62"/>
  <c r="D41" i="62"/>
  <c r="E41" i="62"/>
  <c r="F41" i="62"/>
  <c r="G41" i="62"/>
  <c r="H41" i="62"/>
  <c r="I41" i="62"/>
  <c r="J41" i="62"/>
  <c r="K41" i="62"/>
  <c r="L41" i="62"/>
  <c r="M41" i="62"/>
  <c r="A42" i="62"/>
  <c r="G43" i="62"/>
  <c r="D44" i="62"/>
  <c r="D43" i="62" s="1"/>
  <c r="E44" i="62"/>
  <c r="E43" i="62" s="1"/>
  <c r="F44" i="62"/>
  <c r="F43" i="62" s="1"/>
  <c r="G44" i="62"/>
  <c r="H44" i="62"/>
  <c r="H43" i="62" s="1"/>
  <c r="I44" i="62"/>
  <c r="I43" i="62" s="1"/>
  <c r="J44" i="62"/>
  <c r="J43" i="62" s="1"/>
  <c r="A47" i="62"/>
  <c r="D50" i="62"/>
  <c r="E50" i="62"/>
  <c r="F50" i="62"/>
  <c r="G50" i="62"/>
  <c r="H50" i="62"/>
  <c r="I50" i="62"/>
  <c r="J50" i="62"/>
  <c r="A51" i="62"/>
  <c r="D55" i="62"/>
  <c r="E55" i="62"/>
  <c r="F55" i="62"/>
  <c r="G55" i="62"/>
  <c r="H55" i="62"/>
  <c r="I55" i="62"/>
  <c r="J55" i="62"/>
  <c r="K55" i="62"/>
  <c r="L55" i="62"/>
  <c r="D57" i="62"/>
  <c r="E57" i="62"/>
  <c r="F57" i="62"/>
  <c r="G57" i="62"/>
  <c r="H57" i="62"/>
  <c r="I57" i="62"/>
  <c r="J57" i="62"/>
  <c r="K57" i="62"/>
  <c r="L57" i="62"/>
  <c r="M57" i="62"/>
  <c r="A61" i="62"/>
  <c r="D61" i="62"/>
  <c r="E61" i="62"/>
  <c r="F61" i="62"/>
  <c r="G61" i="62"/>
  <c r="H61" i="62"/>
  <c r="I61" i="62"/>
  <c r="J61" i="62"/>
  <c r="D62" i="62"/>
  <c r="E62" i="62"/>
  <c r="F62" i="62"/>
  <c r="G62" i="62"/>
  <c r="H62" i="62"/>
  <c r="I62" i="62"/>
  <c r="J62" i="62"/>
  <c r="D63" i="62"/>
  <c r="E63" i="62"/>
  <c r="F63" i="62"/>
  <c r="G63" i="62"/>
  <c r="H63" i="62"/>
  <c r="I63" i="62"/>
  <c r="J63" i="62"/>
  <c r="D64" i="62"/>
  <c r="E64" i="62"/>
  <c r="F64" i="62"/>
  <c r="G64" i="62"/>
  <c r="H64" i="62"/>
  <c r="I64" i="62"/>
  <c r="J64" i="62"/>
  <c r="A65" i="62"/>
  <c r="D65" i="62"/>
  <c r="E65" i="62"/>
  <c r="F65" i="62"/>
  <c r="G65" i="62"/>
  <c r="H65" i="62"/>
  <c r="I65" i="62"/>
  <c r="J65" i="62"/>
  <c r="A66" i="62"/>
  <c r="E70" i="62"/>
  <c r="A73" i="62"/>
  <c r="D73" i="62"/>
  <c r="E73" i="62"/>
  <c r="F74" i="62" s="1"/>
  <c r="F70" i="62" s="1"/>
  <c r="F73" i="62"/>
  <c r="G73" i="62"/>
  <c r="H74" i="62" s="1"/>
  <c r="H70" i="62" s="1"/>
  <c r="H73" i="62"/>
  <c r="I73" i="62"/>
  <c r="J74" i="62" s="1"/>
  <c r="J70" i="62" s="1"/>
  <c r="J73" i="62"/>
  <c r="K73" i="62"/>
  <c r="L74" i="62" s="1"/>
  <c r="L73" i="62"/>
  <c r="M73" i="62"/>
  <c r="E74" i="62"/>
  <c r="E26" i="62" s="1"/>
  <c r="G74" i="62"/>
  <c r="G26" i="62" s="1"/>
  <c r="I74" i="62"/>
  <c r="I26" i="62" s="1"/>
  <c r="K74" i="62"/>
  <c r="M74" i="62"/>
  <c r="H2" i="61"/>
  <c r="I3" i="61"/>
  <c r="J3" i="61"/>
  <c r="A34" i="61"/>
  <c r="B2" i="60"/>
  <c r="M150" i="60"/>
  <c r="N150" i="60"/>
  <c r="O150" i="60"/>
  <c r="P150" i="60"/>
  <c r="Q150" i="60"/>
  <c r="K163" i="60"/>
  <c r="L163" i="60"/>
  <c r="M163" i="60"/>
  <c r="N163" i="60"/>
  <c r="O163" i="60"/>
  <c r="K164" i="60"/>
  <c r="L164" i="60"/>
  <c r="M164" i="60"/>
  <c r="N164" i="60"/>
  <c r="O164" i="60"/>
  <c r="A165" i="60"/>
  <c r="A2" i="59"/>
  <c r="B2" i="59"/>
  <c r="I3" i="59"/>
  <c r="F21" i="59"/>
  <c r="G21" i="59"/>
  <c r="H21" i="59"/>
  <c r="I21" i="59"/>
  <c r="C40" i="59"/>
  <c r="D40" i="59"/>
  <c r="E40" i="59"/>
  <c r="F40" i="59"/>
  <c r="G40" i="59"/>
  <c r="G54" i="59" s="1"/>
  <c r="H40" i="59"/>
  <c r="I40" i="59"/>
  <c r="I54" i="59" s="1"/>
  <c r="A43" i="59"/>
  <c r="A44" i="59"/>
  <c r="A45" i="59"/>
  <c r="A46" i="59"/>
  <c r="A47" i="59"/>
  <c r="A48" i="59"/>
  <c r="A49" i="59"/>
  <c r="A50" i="59"/>
  <c r="C53" i="59"/>
  <c r="D53" i="59"/>
  <c r="E53" i="59"/>
  <c r="F53" i="59"/>
  <c r="G53" i="59"/>
  <c r="H53" i="59"/>
  <c r="I53" i="59"/>
  <c r="F54" i="59"/>
  <c r="H54" i="59"/>
  <c r="A55" i="59"/>
  <c r="A2" i="58"/>
  <c r="B2" i="58"/>
  <c r="C3" i="58"/>
  <c r="D3" i="58"/>
  <c r="E3" i="58"/>
  <c r="F3" i="58"/>
  <c r="G3" i="58"/>
  <c r="H3" i="58"/>
  <c r="C6" i="58"/>
  <c r="G6" i="58"/>
  <c r="C7" i="58"/>
  <c r="D7" i="58"/>
  <c r="D6" i="58" s="1"/>
  <c r="E7" i="58"/>
  <c r="E6" i="58" s="1"/>
  <c r="F7" i="58"/>
  <c r="F6" i="58" s="1"/>
  <c r="G7" i="58"/>
  <c r="H7" i="58"/>
  <c r="H6" i="58" s="1"/>
  <c r="H77" i="58" s="1"/>
  <c r="I7" i="58"/>
  <c r="J7" i="58"/>
  <c r="K7" i="58"/>
  <c r="C10" i="58"/>
  <c r="D10" i="58"/>
  <c r="E10" i="58"/>
  <c r="F10" i="58"/>
  <c r="G10" i="58"/>
  <c r="H10" i="58"/>
  <c r="I10" i="58"/>
  <c r="J10" i="58"/>
  <c r="K10" i="58"/>
  <c r="C14" i="58"/>
  <c r="D14" i="58"/>
  <c r="E14" i="58"/>
  <c r="F14" i="58"/>
  <c r="G14" i="58"/>
  <c r="H14" i="58"/>
  <c r="I14" i="58"/>
  <c r="J14" i="58"/>
  <c r="K14" i="58"/>
  <c r="C18" i="58"/>
  <c r="D18" i="58"/>
  <c r="E18" i="58"/>
  <c r="F18" i="58"/>
  <c r="G18" i="58"/>
  <c r="H18" i="58"/>
  <c r="I18" i="58"/>
  <c r="J18" i="58"/>
  <c r="K18" i="58"/>
  <c r="C21" i="58"/>
  <c r="D21" i="58"/>
  <c r="E21" i="58"/>
  <c r="F21" i="58"/>
  <c r="G21" i="58"/>
  <c r="H21" i="58"/>
  <c r="J21" i="58"/>
  <c r="C27" i="58"/>
  <c r="D27" i="58"/>
  <c r="E27" i="58"/>
  <c r="F27" i="58"/>
  <c r="G27" i="58"/>
  <c r="H27" i="58"/>
  <c r="I27" i="58"/>
  <c r="J27" i="58"/>
  <c r="C43" i="58"/>
  <c r="D43" i="58"/>
  <c r="E43" i="58"/>
  <c r="F43" i="58"/>
  <c r="G43" i="58"/>
  <c r="H43" i="58"/>
  <c r="I43" i="58"/>
  <c r="J43" i="58"/>
  <c r="K43" i="58"/>
  <c r="C47" i="58"/>
  <c r="D47" i="58"/>
  <c r="E47" i="58"/>
  <c r="F47" i="58"/>
  <c r="G47" i="58"/>
  <c r="H47" i="58"/>
  <c r="I47" i="58"/>
  <c r="J47" i="58"/>
  <c r="K47" i="58"/>
  <c r="E51" i="58"/>
  <c r="I51" i="58"/>
  <c r="J53" i="58"/>
  <c r="C65" i="58"/>
  <c r="D65" i="58"/>
  <c r="E65" i="58"/>
  <c r="F65" i="58"/>
  <c r="G65" i="58"/>
  <c r="H65" i="58"/>
  <c r="I65" i="58"/>
  <c r="J65" i="58"/>
  <c r="K65" i="58"/>
  <c r="C69" i="58"/>
  <c r="D69" i="58"/>
  <c r="E69" i="58"/>
  <c r="F69" i="58"/>
  <c r="G69" i="58"/>
  <c r="H69" i="58"/>
  <c r="I69" i="58"/>
  <c r="J69" i="58"/>
  <c r="K69" i="58"/>
  <c r="C73" i="58"/>
  <c r="D73" i="58"/>
  <c r="E73" i="58"/>
  <c r="F73" i="58"/>
  <c r="G73" i="58"/>
  <c r="H73" i="58"/>
  <c r="I73" i="58"/>
  <c r="J73" i="58"/>
  <c r="K73" i="58"/>
  <c r="D77" i="58"/>
  <c r="C79" i="58"/>
  <c r="C53" i="58" s="1"/>
  <c r="C51" i="58" s="1"/>
  <c r="D79" i="58"/>
  <c r="D53" i="58" s="1"/>
  <c r="D51" i="58" s="1"/>
  <c r="E79" i="58"/>
  <c r="E53" i="58" s="1"/>
  <c r="F79" i="58"/>
  <c r="F53" i="58" s="1"/>
  <c r="F51" i="58" s="1"/>
  <c r="G79" i="58"/>
  <c r="G53" i="58" s="1"/>
  <c r="G51" i="58" s="1"/>
  <c r="H79" i="58"/>
  <c r="H53" i="58" s="1"/>
  <c r="H51" i="58" s="1"/>
  <c r="I79" i="58"/>
  <c r="I53" i="58" s="1"/>
  <c r="J79" i="58"/>
  <c r="K79" i="58"/>
  <c r="K53" i="58" s="1"/>
  <c r="A84" i="58"/>
  <c r="A2" i="57"/>
  <c r="B2" i="57"/>
  <c r="C3" i="57"/>
  <c r="D3" i="57"/>
  <c r="E3" i="57"/>
  <c r="F3" i="57"/>
  <c r="G3" i="57"/>
  <c r="H3" i="57"/>
  <c r="C7" i="57"/>
  <c r="D7" i="57"/>
  <c r="E7" i="57"/>
  <c r="F7" i="57"/>
  <c r="G7" i="57"/>
  <c r="H7" i="57"/>
  <c r="H6" i="57" s="1"/>
  <c r="H77" i="57" s="1"/>
  <c r="I7" i="57"/>
  <c r="I70" i="18"/>
  <c r="J7" i="57"/>
  <c r="C10" i="57"/>
  <c r="C6" i="57" s="1"/>
  <c r="C77" i="57" s="1"/>
  <c r="D10" i="57"/>
  <c r="E10" i="57"/>
  <c r="F10" i="57"/>
  <c r="G10" i="57"/>
  <c r="H10" i="57"/>
  <c r="I10" i="57"/>
  <c r="C14" i="57"/>
  <c r="D14" i="57"/>
  <c r="E14" i="57"/>
  <c r="E72" i="18" s="1"/>
  <c r="F14" i="57"/>
  <c r="G14" i="57"/>
  <c r="H14" i="57"/>
  <c r="I14" i="57"/>
  <c r="I72" i="18"/>
  <c r="C18" i="57"/>
  <c r="D18" i="57"/>
  <c r="E18" i="57"/>
  <c r="F18" i="57"/>
  <c r="G18" i="57"/>
  <c r="H18" i="57"/>
  <c r="I18" i="57"/>
  <c r="J18" i="57"/>
  <c r="C21" i="57"/>
  <c r="D21" i="57"/>
  <c r="E21" i="57"/>
  <c r="F21" i="57"/>
  <c r="G21" i="57"/>
  <c r="H21" i="57"/>
  <c r="I21" i="57"/>
  <c r="J21" i="57"/>
  <c r="K21" i="57"/>
  <c r="C27" i="57"/>
  <c r="D27" i="57"/>
  <c r="E27" i="57"/>
  <c r="F27" i="57"/>
  <c r="G27" i="57"/>
  <c r="H27" i="57"/>
  <c r="I27" i="57"/>
  <c r="J27" i="57"/>
  <c r="K27" i="57"/>
  <c r="C43" i="57"/>
  <c r="D43" i="57"/>
  <c r="E43" i="57"/>
  <c r="F43" i="57"/>
  <c r="G43" i="57"/>
  <c r="H43" i="57"/>
  <c r="I43" i="57"/>
  <c r="J43" i="57"/>
  <c r="K43" i="57"/>
  <c r="C47" i="57"/>
  <c r="D47" i="57"/>
  <c r="E47" i="57"/>
  <c r="F47" i="57"/>
  <c r="G47" i="57"/>
  <c r="H47" i="57"/>
  <c r="I47" i="57"/>
  <c r="J47" i="57"/>
  <c r="K47" i="57"/>
  <c r="D53" i="57"/>
  <c r="D51" i="57" s="1"/>
  <c r="F53" i="57"/>
  <c r="F51" i="57" s="1"/>
  <c r="H53" i="57"/>
  <c r="H51" i="57" s="1"/>
  <c r="J53" i="57"/>
  <c r="C65" i="57"/>
  <c r="D65" i="57"/>
  <c r="E65" i="57"/>
  <c r="F65" i="57"/>
  <c r="G65" i="57"/>
  <c r="H65" i="57"/>
  <c r="I65" i="57"/>
  <c r="J65" i="57"/>
  <c r="K65" i="57"/>
  <c r="C69" i="57"/>
  <c r="D69" i="57"/>
  <c r="E69" i="57"/>
  <c r="F69" i="57"/>
  <c r="G69" i="57"/>
  <c r="H69" i="57"/>
  <c r="I69" i="57"/>
  <c r="J69" i="57"/>
  <c r="K69" i="57"/>
  <c r="C73" i="57"/>
  <c r="D73" i="57"/>
  <c r="E73" i="57"/>
  <c r="F73" i="57"/>
  <c r="G73" i="57"/>
  <c r="H73" i="57"/>
  <c r="I73" i="57"/>
  <c r="J73" i="57"/>
  <c r="K73" i="57"/>
  <c r="C79" i="57"/>
  <c r="C53" i="57" s="1"/>
  <c r="C51" i="57" s="1"/>
  <c r="D79" i="57"/>
  <c r="E79" i="57"/>
  <c r="E53" i="57" s="1"/>
  <c r="E51" i="57" s="1"/>
  <c r="E79" i="18" s="1"/>
  <c r="F79" i="57"/>
  <c r="G79" i="57"/>
  <c r="G53" i="57" s="1"/>
  <c r="G51" i="57" s="1"/>
  <c r="H79" i="57"/>
  <c r="I79" i="57"/>
  <c r="I53" i="57" s="1"/>
  <c r="I51" i="57" s="1"/>
  <c r="I79" i="18" s="1"/>
  <c r="J79" i="57"/>
  <c r="K79" i="57"/>
  <c r="K53" i="57" s="1"/>
  <c r="A87" i="57"/>
  <c r="A2" i="56"/>
  <c r="B2" i="56"/>
  <c r="C3" i="56"/>
  <c r="D3" i="56"/>
  <c r="E3" i="56"/>
  <c r="F3" i="56"/>
  <c r="G3" i="56"/>
  <c r="H3" i="56"/>
  <c r="C7" i="56"/>
  <c r="D7" i="56"/>
  <c r="E7" i="56"/>
  <c r="F7" i="56"/>
  <c r="G7" i="56"/>
  <c r="H7" i="56"/>
  <c r="I7" i="56"/>
  <c r="J7" i="56"/>
  <c r="K7" i="56"/>
  <c r="C10" i="56"/>
  <c r="C6" i="56" s="1"/>
  <c r="C77" i="56" s="1"/>
  <c r="D10" i="56"/>
  <c r="E10" i="56"/>
  <c r="F10" i="56"/>
  <c r="G10" i="56"/>
  <c r="G6" i="56" s="1"/>
  <c r="G77" i="56" s="1"/>
  <c r="H10" i="56"/>
  <c r="I10" i="56"/>
  <c r="J10" i="56"/>
  <c r="K10" i="56"/>
  <c r="K6" i="56" s="1"/>
  <c r="C14" i="56"/>
  <c r="D14" i="56"/>
  <c r="E14" i="56"/>
  <c r="F14" i="56"/>
  <c r="G14" i="56"/>
  <c r="H14" i="56"/>
  <c r="I14" i="56"/>
  <c r="J14" i="56"/>
  <c r="K14" i="56"/>
  <c r="C18" i="56"/>
  <c r="D18" i="56"/>
  <c r="E18" i="56"/>
  <c r="F18" i="56"/>
  <c r="G18" i="56"/>
  <c r="H18" i="56"/>
  <c r="I18" i="56"/>
  <c r="J18" i="56"/>
  <c r="K18" i="56"/>
  <c r="C21" i="56"/>
  <c r="D21" i="56"/>
  <c r="E21" i="56"/>
  <c r="F21" i="56"/>
  <c r="G21" i="56"/>
  <c r="H21" i="56"/>
  <c r="I21" i="56"/>
  <c r="J21" i="56"/>
  <c r="K21" i="56"/>
  <c r="C27" i="56"/>
  <c r="D27" i="56"/>
  <c r="E27" i="56"/>
  <c r="F27" i="56"/>
  <c r="G27" i="56"/>
  <c r="H27" i="56"/>
  <c r="I27" i="56"/>
  <c r="J27" i="56"/>
  <c r="K27" i="56"/>
  <c r="C43" i="56"/>
  <c r="D43" i="56"/>
  <c r="E43" i="56"/>
  <c r="F43" i="56"/>
  <c r="G43" i="56"/>
  <c r="H43" i="56"/>
  <c r="I43" i="56"/>
  <c r="J43" i="56"/>
  <c r="K43" i="56"/>
  <c r="C47" i="56"/>
  <c r="D47" i="56"/>
  <c r="E47" i="56"/>
  <c r="F47" i="56"/>
  <c r="G47" i="56"/>
  <c r="H47" i="56"/>
  <c r="I47" i="56"/>
  <c r="J47" i="56"/>
  <c r="K47" i="56"/>
  <c r="F53" i="56"/>
  <c r="F51" i="56" s="1"/>
  <c r="J53" i="56"/>
  <c r="J51" i="56" s="1"/>
  <c r="C65" i="56"/>
  <c r="D65" i="56"/>
  <c r="E65" i="56"/>
  <c r="F65" i="56"/>
  <c r="G65" i="56"/>
  <c r="H65" i="56"/>
  <c r="I65" i="56"/>
  <c r="J65" i="56"/>
  <c r="K65" i="56"/>
  <c r="C69" i="56"/>
  <c r="D69" i="56"/>
  <c r="E69" i="56"/>
  <c r="F69" i="56"/>
  <c r="G69" i="56"/>
  <c r="H69" i="56"/>
  <c r="I69" i="56"/>
  <c r="J69" i="56"/>
  <c r="K69" i="56"/>
  <c r="C73" i="56"/>
  <c r="D73" i="56"/>
  <c r="E73" i="56"/>
  <c r="F73" i="56"/>
  <c r="G73" i="56"/>
  <c r="H73" i="56"/>
  <c r="I73" i="56"/>
  <c r="J73" i="56"/>
  <c r="K73" i="56"/>
  <c r="C79" i="56"/>
  <c r="C53" i="56" s="1"/>
  <c r="C51" i="56" s="1"/>
  <c r="D79" i="56"/>
  <c r="D53" i="56" s="1"/>
  <c r="D51" i="56" s="1"/>
  <c r="E79" i="56"/>
  <c r="E53" i="56" s="1"/>
  <c r="E51" i="56" s="1"/>
  <c r="F79" i="56"/>
  <c r="G79" i="56"/>
  <c r="G53" i="56" s="1"/>
  <c r="G51" i="56" s="1"/>
  <c r="H79" i="56"/>
  <c r="H53" i="56" s="1"/>
  <c r="H51" i="56" s="1"/>
  <c r="I79" i="56"/>
  <c r="I53" i="56" s="1"/>
  <c r="I51" i="56" s="1"/>
  <c r="J79" i="56"/>
  <c r="K79" i="56"/>
  <c r="K53" i="56" s="1"/>
  <c r="K51" i="56" s="1"/>
  <c r="A87" i="56"/>
  <c r="A2" i="55"/>
  <c r="B2" i="55"/>
  <c r="C3" i="55"/>
  <c r="D3" i="55"/>
  <c r="E3" i="55"/>
  <c r="F3" i="55"/>
  <c r="G3" i="55"/>
  <c r="H3" i="55"/>
  <c r="C7" i="55"/>
  <c r="D7" i="55"/>
  <c r="D6" i="55" s="1"/>
  <c r="E7" i="55"/>
  <c r="F7" i="55"/>
  <c r="F6" i="55" s="1"/>
  <c r="G7" i="55"/>
  <c r="H7" i="55"/>
  <c r="H6" i="55" s="1"/>
  <c r="I7" i="55"/>
  <c r="J7" i="55"/>
  <c r="C10" i="55"/>
  <c r="D10" i="55"/>
  <c r="E10" i="55"/>
  <c r="F10" i="55"/>
  <c r="G10" i="55"/>
  <c r="H10" i="55"/>
  <c r="I10" i="55"/>
  <c r="I7" i="18" s="1"/>
  <c r="C14" i="55"/>
  <c r="C6" i="55" s="1"/>
  <c r="D14" i="55"/>
  <c r="E14" i="55"/>
  <c r="F14" i="55"/>
  <c r="G14" i="55"/>
  <c r="G6" i="55" s="1"/>
  <c r="H14" i="55"/>
  <c r="C18" i="55"/>
  <c r="D18" i="55"/>
  <c r="E18" i="55"/>
  <c r="F18" i="55"/>
  <c r="G18" i="55"/>
  <c r="H18" i="55"/>
  <c r="C21" i="55"/>
  <c r="D21" i="55"/>
  <c r="E21" i="55"/>
  <c r="E10" i="18" s="1"/>
  <c r="E40" i="18" s="1"/>
  <c r="F21" i="55"/>
  <c r="G21" i="55"/>
  <c r="H21" i="55"/>
  <c r="I21" i="55"/>
  <c r="J21" i="55"/>
  <c r="K21" i="55"/>
  <c r="C27" i="55"/>
  <c r="D27" i="55"/>
  <c r="E27" i="55"/>
  <c r="F27" i="55"/>
  <c r="G27" i="55"/>
  <c r="H27" i="55"/>
  <c r="I27" i="55"/>
  <c r="J27" i="55"/>
  <c r="C43" i="55"/>
  <c r="D43" i="55"/>
  <c r="E43" i="55"/>
  <c r="F43" i="55"/>
  <c r="G43" i="55"/>
  <c r="H43" i="55"/>
  <c r="I43" i="55"/>
  <c r="J43" i="55"/>
  <c r="K43" i="55"/>
  <c r="C47" i="55"/>
  <c r="D47" i="55"/>
  <c r="E47" i="55"/>
  <c r="F47" i="55"/>
  <c r="G47" i="55"/>
  <c r="H47" i="55"/>
  <c r="I47" i="55"/>
  <c r="J47" i="55"/>
  <c r="K47" i="55"/>
  <c r="D51" i="55"/>
  <c r="H51" i="55"/>
  <c r="J53" i="55"/>
  <c r="J51" i="55" s="1"/>
  <c r="M55" i="62"/>
  <c r="C65" i="55"/>
  <c r="D65" i="55"/>
  <c r="E65" i="55"/>
  <c r="F65" i="55"/>
  <c r="G65" i="55"/>
  <c r="H65" i="55"/>
  <c r="I65" i="55"/>
  <c r="J65" i="55"/>
  <c r="K65" i="55"/>
  <c r="C69" i="55"/>
  <c r="D69" i="55"/>
  <c r="E69" i="55"/>
  <c r="F69" i="55"/>
  <c r="G69" i="55"/>
  <c r="H69" i="55"/>
  <c r="I69" i="55"/>
  <c r="J69" i="55"/>
  <c r="K69" i="55"/>
  <c r="C73" i="55"/>
  <c r="D73" i="55"/>
  <c r="E73" i="55"/>
  <c r="F73" i="55"/>
  <c r="G73" i="55"/>
  <c r="H73" i="55"/>
  <c r="I73" i="55"/>
  <c r="J73" i="55"/>
  <c r="K73" i="55"/>
  <c r="C79" i="55"/>
  <c r="C53" i="55" s="1"/>
  <c r="C51" i="55" s="1"/>
  <c r="D79" i="55"/>
  <c r="D53" i="55" s="1"/>
  <c r="E79" i="55"/>
  <c r="E53" i="55" s="1"/>
  <c r="E51" i="55" s="1"/>
  <c r="E15" i="18" s="1"/>
  <c r="E45" i="18" s="1"/>
  <c r="F79" i="55"/>
  <c r="F53" i="55" s="1"/>
  <c r="F51" i="55" s="1"/>
  <c r="G79" i="55"/>
  <c r="G53" i="55" s="1"/>
  <c r="G51" i="55" s="1"/>
  <c r="H79" i="55"/>
  <c r="H53" i="55" s="1"/>
  <c r="I79" i="55"/>
  <c r="I53" i="55" s="1"/>
  <c r="I51" i="55" s="1"/>
  <c r="J79" i="55"/>
  <c r="K79" i="55"/>
  <c r="K53" i="55" s="1"/>
  <c r="A84" i="55"/>
  <c r="A2" i="54"/>
  <c r="B2" i="54"/>
  <c r="D3" i="54"/>
  <c r="O6" i="54"/>
  <c r="O7" i="54"/>
  <c r="O8" i="54"/>
  <c r="C9" i="54"/>
  <c r="D9" i="54"/>
  <c r="E9" i="54"/>
  <c r="F9" i="54"/>
  <c r="G9" i="54"/>
  <c r="H9" i="54"/>
  <c r="I9" i="54"/>
  <c r="J9" i="54"/>
  <c r="K9" i="54"/>
  <c r="L9" i="54"/>
  <c r="M9" i="54"/>
  <c r="N9" i="54"/>
  <c r="O12" i="54"/>
  <c r="O13" i="54"/>
  <c r="O14" i="54"/>
  <c r="C15" i="54"/>
  <c r="D15" i="54"/>
  <c r="E15" i="54"/>
  <c r="F15" i="54"/>
  <c r="G15" i="54"/>
  <c r="H15" i="54"/>
  <c r="I15" i="54"/>
  <c r="J15" i="54"/>
  <c r="K15" i="54"/>
  <c r="L15" i="54"/>
  <c r="M15" i="54"/>
  <c r="N15" i="54"/>
  <c r="O18" i="54"/>
  <c r="O19" i="54"/>
  <c r="O20" i="54"/>
  <c r="C21" i="54"/>
  <c r="D21" i="54"/>
  <c r="E21" i="54"/>
  <c r="F21" i="54"/>
  <c r="G21" i="54"/>
  <c r="H21" i="54"/>
  <c r="I21" i="54"/>
  <c r="J21" i="54"/>
  <c r="K21" i="54"/>
  <c r="L21" i="54"/>
  <c r="M21" i="54"/>
  <c r="N21" i="54"/>
  <c r="C23" i="54"/>
  <c r="E23" i="54"/>
  <c r="G23" i="54"/>
  <c r="I23" i="54"/>
  <c r="K23" i="54"/>
  <c r="M23" i="54"/>
  <c r="O27" i="54"/>
  <c r="O28" i="54"/>
  <c r="O29" i="54"/>
  <c r="C30" i="54"/>
  <c r="D30" i="54"/>
  <c r="E30" i="54"/>
  <c r="F30" i="54"/>
  <c r="G30" i="54"/>
  <c r="H30" i="54"/>
  <c r="I30" i="54"/>
  <c r="J30" i="54"/>
  <c r="K30" i="54"/>
  <c r="L30" i="54"/>
  <c r="M30" i="54"/>
  <c r="N30" i="54"/>
  <c r="O30" i="54"/>
  <c r="O33" i="54"/>
  <c r="O34" i="54"/>
  <c r="O35" i="54"/>
  <c r="C36" i="54"/>
  <c r="D36" i="54"/>
  <c r="E36" i="54"/>
  <c r="F36" i="54"/>
  <c r="G36" i="54"/>
  <c r="H36" i="54"/>
  <c r="I36" i="54"/>
  <c r="J36" i="54"/>
  <c r="K36" i="54"/>
  <c r="L36" i="54"/>
  <c r="M36" i="54"/>
  <c r="N36" i="54"/>
  <c r="O36" i="54"/>
  <c r="O39" i="54"/>
  <c r="O40" i="54"/>
  <c r="O41" i="54"/>
  <c r="C42" i="54"/>
  <c r="D42" i="54"/>
  <c r="E42" i="54"/>
  <c r="F42" i="54"/>
  <c r="G42" i="54"/>
  <c r="H42" i="54"/>
  <c r="I42" i="54"/>
  <c r="J42" i="54"/>
  <c r="K42" i="54"/>
  <c r="L42" i="54"/>
  <c r="M42" i="54"/>
  <c r="N42" i="54"/>
  <c r="O42" i="54"/>
  <c r="D44" i="54"/>
  <c r="F44" i="54"/>
  <c r="H44" i="54"/>
  <c r="J44" i="54"/>
  <c r="L44" i="54"/>
  <c r="N44" i="54"/>
  <c r="A45" i="54"/>
  <c r="A25" i="53"/>
  <c r="A2" i="52"/>
  <c r="B2" i="52"/>
  <c r="C3" i="52"/>
  <c r="D3" i="52"/>
  <c r="E3" i="52"/>
  <c r="F3" i="52"/>
  <c r="G3" i="52"/>
  <c r="H3" i="52"/>
  <c r="A5" i="52"/>
  <c r="A6" i="52"/>
  <c r="A7" i="52"/>
  <c r="A8" i="52"/>
  <c r="A9" i="52"/>
  <c r="A10" i="52"/>
  <c r="A11" i="52"/>
  <c r="C11" i="52"/>
  <c r="D11" i="52"/>
  <c r="E11" i="52"/>
  <c r="F11" i="52"/>
  <c r="G11" i="52"/>
  <c r="H11" i="52"/>
  <c r="I11" i="52"/>
  <c r="J11" i="52"/>
  <c r="K11" i="52"/>
  <c r="A12" i="52"/>
  <c r="A14" i="52"/>
  <c r="A15" i="52"/>
  <c r="A16" i="52"/>
  <c r="A17" i="52"/>
  <c r="A18" i="52"/>
  <c r="A19" i="52"/>
  <c r="C19" i="52"/>
  <c r="D19" i="52"/>
  <c r="E19" i="52"/>
  <c r="F19" i="52"/>
  <c r="G19" i="52"/>
  <c r="H19" i="52"/>
  <c r="I19" i="52"/>
  <c r="J19" i="52"/>
  <c r="K19" i="52"/>
  <c r="A20" i="52"/>
  <c r="C20" i="52"/>
  <c r="D20" i="52"/>
  <c r="E20" i="52"/>
  <c r="F20" i="52"/>
  <c r="G20" i="52"/>
  <c r="H20" i="52"/>
  <c r="I20" i="52"/>
  <c r="J20" i="52"/>
  <c r="K20" i="52"/>
  <c r="A24" i="52"/>
  <c r="A25" i="52"/>
  <c r="A26" i="52"/>
  <c r="A27" i="52"/>
  <c r="C28" i="52"/>
  <c r="D28" i="52"/>
  <c r="E28" i="52"/>
  <c r="F28" i="52"/>
  <c r="G28" i="52"/>
  <c r="H28" i="52"/>
  <c r="I28" i="52"/>
  <c r="J28" i="52"/>
  <c r="K28" i="52"/>
  <c r="A31" i="52"/>
  <c r="A32" i="52"/>
  <c r="A33" i="52"/>
  <c r="A34" i="52"/>
  <c r="A38" i="52"/>
  <c r="A39" i="52"/>
  <c r="A40" i="52"/>
  <c r="A5" i="51"/>
  <c r="M5" i="51"/>
  <c r="A6" i="51"/>
  <c r="M6" i="51"/>
  <c r="A7" i="51"/>
  <c r="M7" i="51"/>
  <c r="A8" i="51"/>
  <c r="M8" i="51"/>
  <c r="A9" i="51"/>
  <c r="M9" i="51"/>
  <c r="A10" i="51"/>
  <c r="M10" i="51"/>
  <c r="A11" i="51"/>
  <c r="M11" i="51"/>
  <c r="A12" i="51"/>
  <c r="M12" i="51"/>
  <c r="A13" i="51"/>
  <c r="M13" i="51"/>
  <c r="A14" i="51"/>
  <c r="M14" i="51"/>
  <c r="A15" i="51"/>
  <c r="M15" i="51"/>
  <c r="A16" i="51"/>
  <c r="M16" i="51"/>
  <c r="A17" i="51"/>
  <c r="M17" i="51"/>
  <c r="A18" i="51"/>
  <c r="M18" i="51"/>
  <c r="M19" i="51"/>
  <c r="A20" i="51"/>
  <c r="M20" i="51"/>
  <c r="B21" i="51"/>
  <c r="B33" i="51" s="1"/>
  <c r="C21" i="51"/>
  <c r="D21" i="51"/>
  <c r="D33" i="51" s="1"/>
  <c r="E21" i="51"/>
  <c r="E33" i="51" s="1"/>
  <c r="F21" i="51"/>
  <c r="F33" i="51" s="1"/>
  <c r="G21" i="51"/>
  <c r="G33" i="51" s="1"/>
  <c r="H21" i="51"/>
  <c r="H33" i="51" s="1"/>
  <c r="I21" i="51"/>
  <c r="I33" i="51" s="1"/>
  <c r="J21" i="51"/>
  <c r="J33" i="51" s="1"/>
  <c r="K21" i="51"/>
  <c r="K33" i="51" s="1"/>
  <c r="L21" i="51"/>
  <c r="L33" i="51" s="1"/>
  <c r="N21" i="51"/>
  <c r="N33" i="51" s="1"/>
  <c r="M24" i="51"/>
  <c r="A25" i="51"/>
  <c r="M25" i="51"/>
  <c r="A26" i="51"/>
  <c r="M26" i="51"/>
  <c r="A27" i="51"/>
  <c r="M27" i="51"/>
  <c r="A28" i="51"/>
  <c r="M28" i="51"/>
  <c r="A29" i="51"/>
  <c r="M29" i="51"/>
  <c r="A30" i="51"/>
  <c r="M30" i="51"/>
  <c r="A31" i="51"/>
  <c r="M31" i="51"/>
  <c r="A32" i="51"/>
  <c r="M32" i="51"/>
  <c r="C33" i="51"/>
  <c r="M36" i="51"/>
  <c r="M37" i="51"/>
  <c r="M38" i="51"/>
  <c r="M39" i="51"/>
  <c r="M40" i="51"/>
  <c r="M41" i="51"/>
  <c r="M42" i="51"/>
  <c r="M43" i="51"/>
  <c r="M45" i="51"/>
  <c r="B46" i="51"/>
  <c r="B52" i="51" s="1"/>
  <c r="C46" i="51"/>
  <c r="C52" i="51" s="1"/>
  <c r="D46" i="51"/>
  <c r="D52" i="51" s="1"/>
  <c r="E46" i="51"/>
  <c r="F46" i="51"/>
  <c r="G46" i="51"/>
  <c r="H46" i="51"/>
  <c r="H63" i="51" s="1"/>
  <c r="I46" i="51"/>
  <c r="I52" i="51" s="1"/>
  <c r="J46" i="51"/>
  <c r="J63" i="51" s="1"/>
  <c r="K46" i="51"/>
  <c r="L46" i="51"/>
  <c r="L63" i="51" s="1"/>
  <c r="A49" i="51"/>
  <c r="A50" i="51"/>
  <c r="M50" i="51"/>
  <c r="A51" i="51"/>
  <c r="M51" i="51"/>
  <c r="E52" i="51"/>
  <c r="N55" i="51"/>
  <c r="A57" i="51"/>
  <c r="E63" i="51"/>
  <c r="A2" i="50"/>
  <c r="B2" i="50"/>
  <c r="A4" i="50"/>
  <c r="A5" i="50"/>
  <c r="C5" i="50"/>
  <c r="D5" i="50"/>
  <c r="E5" i="50"/>
  <c r="F5" i="50"/>
  <c r="G5" i="50"/>
  <c r="H5" i="50"/>
  <c r="I5" i="50"/>
  <c r="J5" i="50"/>
  <c r="K5" i="50"/>
  <c r="L5" i="50"/>
  <c r="M5" i="50"/>
  <c r="A6" i="50"/>
  <c r="O6" i="50"/>
  <c r="N6" i="50" s="1"/>
  <c r="P6" i="50"/>
  <c r="Q6" i="50"/>
  <c r="A7" i="50"/>
  <c r="N7" i="50"/>
  <c r="O7" i="50"/>
  <c r="P7" i="50"/>
  <c r="Q7" i="50"/>
  <c r="A8" i="50"/>
  <c r="O8" i="50"/>
  <c r="N8" i="50" s="1"/>
  <c r="P8" i="50"/>
  <c r="Q8" i="50"/>
  <c r="A9" i="50"/>
  <c r="C9" i="50"/>
  <c r="C25" i="50" s="1"/>
  <c r="D9" i="50"/>
  <c r="E9" i="50"/>
  <c r="E25" i="50" s="1"/>
  <c r="F9" i="50"/>
  <c r="G9" i="50"/>
  <c r="G25" i="50" s="1"/>
  <c r="H9" i="50"/>
  <c r="I9" i="50"/>
  <c r="I25" i="50" s="1"/>
  <c r="J9" i="50"/>
  <c r="K9" i="50"/>
  <c r="K25" i="50" s="1"/>
  <c r="L9" i="50"/>
  <c r="M9" i="50"/>
  <c r="A10" i="50"/>
  <c r="N10" i="50"/>
  <c r="O10" i="50"/>
  <c r="P10" i="50"/>
  <c r="Q10" i="50"/>
  <c r="A11" i="50"/>
  <c r="O11" i="50"/>
  <c r="N11" i="50" s="1"/>
  <c r="P11" i="50"/>
  <c r="Q11" i="50"/>
  <c r="A12" i="50"/>
  <c r="N12" i="50"/>
  <c r="O12" i="50"/>
  <c r="P12" i="50"/>
  <c r="Q12" i="50"/>
  <c r="A13" i="50"/>
  <c r="O13" i="50"/>
  <c r="N13" i="50" s="1"/>
  <c r="P13" i="50"/>
  <c r="Q13" i="50"/>
  <c r="A14" i="50"/>
  <c r="N14" i="50"/>
  <c r="O14" i="50"/>
  <c r="P14" i="50"/>
  <c r="Q14" i="50"/>
  <c r="A15" i="50"/>
  <c r="D15" i="50"/>
  <c r="F15" i="50"/>
  <c r="G15" i="50"/>
  <c r="H15" i="50"/>
  <c r="I15" i="50"/>
  <c r="J15" i="50"/>
  <c r="K15" i="50"/>
  <c r="L15" i="50"/>
  <c r="M15" i="50"/>
  <c r="A16" i="50"/>
  <c r="C16" i="50"/>
  <c r="C15" i="50"/>
  <c r="E15" i="50"/>
  <c r="A17" i="50"/>
  <c r="O17" i="50"/>
  <c r="N17" i="50" s="1"/>
  <c r="P17" i="50"/>
  <c r="Q17" i="50"/>
  <c r="A18" i="50"/>
  <c r="N18" i="50"/>
  <c r="O18" i="50"/>
  <c r="P18" i="50"/>
  <c r="Q18" i="50"/>
  <c r="A19" i="50"/>
  <c r="C19" i="50"/>
  <c r="D19" i="50"/>
  <c r="E19" i="50"/>
  <c r="F19" i="50"/>
  <c r="G19" i="50"/>
  <c r="H19" i="50"/>
  <c r="I19" i="50"/>
  <c r="J19" i="50"/>
  <c r="K19" i="50"/>
  <c r="L19" i="50"/>
  <c r="M19" i="50"/>
  <c r="A20" i="50"/>
  <c r="O20" i="50"/>
  <c r="N20" i="50" s="1"/>
  <c r="P20" i="50"/>
  <c r="Q20" i="50"/>
  <c r="A21" i="50"/>
  <c r="N21" i="50"/>
  <c r="O21" i="50"/>
  <c r="P21" i="50"/>
  <c r="Q21" i="50"/>
  <c r="A22" i="50"/>
  <c r="O22" i="50"/>
  <c r="N22" i="50" s="1"/>
  <c r="P22" i="50"/>
  <c r="Q22" i="50"/>
  <c r="A23" i="50"/>
  <c r="N23" i="50"/>
  <c r="O23" i="50"/>
  <c r="P23" i="50"/>
  <c r="Q23" i="50"/>
  <c r="A24" i="50"/>
  <c r="O24" i="50"/>
  <c r="N24" i="50" s="1"/>
  <c r="P24" i="50"/>
  <c r="Q24" i="50"/>
  <c r="A25" i="50"/>
  <c r="D25" i="50"/>
  <c r="M25" i="50"/>
  <c r="O28" i="50"/>
  <c r="N28" i="50"/>
  <c r="P28" i="50"/>
  <c r="P32" i="50"/>
  <c r="Q28" i="50"/>
  <c r="O29" i="50"/>
  <c r="N29" i="50" s="1"/>
  <c r="P29" i="50"/>
  <c r="Q29" i="50"/>
  <c r="O30" i="50"/>
  <c r="N30" i="50" s="1"/>
  <c r="P30" i="50"/>
  <c r="Q30" i="50"/>
  <c r="O31" i="50"/>
  <c r="N31" i="50" s="1"/>
  <c r="P31" i="50"/>
  <c r="Q31" i="50"/>
  <c r="C32" i="50"/>
  <c r="D32" i="50"/>
  <c r="D36" i="50" s="1"/>
  <c r="E32" i="50"/>
  <c r="F32" i="50"/>
  <c r="F36" i="50" s="1"/>
  <c r="G32" i="50"/>
  <c r="H32" i="50"/>
  <c r="H36" i="50" s="1"/>
  <c r="I32" i="50"/>
  <c r="J32" i="50"/>
  <c r="J36" i="50" s="1"/>
  <c r="K32" i="50"/>
  <c r="L32" i="50"/>
  <c r="L36" i="50" s="1"/>
  <c r="M32" i="50"/>
  <c r="O32" i="50"/>
  <c r="O36" i="50" s="1"/>
  <c r="N33" i="50"/>
  <c r="O33" i="50"/>
  <c r="P33" i="50"/>
  <c r="Q33" i="50"/>
  <c r="N34" i="50"/>
  <c r="O34" i="50"/>
  <c r="P34" i="50"/>
  <c r="Q34" i="50"/>
  <c r="N35" i="50"/>
  <c r="O35" i="50"/>
  <c r="P35" i="50"/>
  <c r="Q35" i="50"/>
  <c r="C36" i="50"/>
  <c r="E36" i="50"/>
  <c r="G36" i="50"/>
  <c r="I36" i="50"/>
  <c r="K36" i="50"/>
  <c r="M36" i="50"/>
  <c r="A37" i="50"/>
  <c r="A39" i="50"/>
  <c r="A2" i="49"/>
  <c r="B2" i="49"/>
  <c r="C20" i="49"/>
  <c r="D20" i="49"/>
  <c r="E20" i="49"/>
  <c r="F20" i="49"/>
  <c r="G20" i="49"/>
  <c r="H20" i="49"/>
  <c r="I20" i="49"/>
  <c r="J20" i="49"/>
  <c r="K20" i="49"/>
  <c r="L20" i="49"/>
  <c r="M20" i="49"/>
  <c r="C38" i="49"/>
  <c r="C39" i="49"/>
  <c r="D38" i="49"/>
  <c r="E38" i="49"/>
  <c r="F38" i="49"/>
  <c r="H38" i="49"/>
  <c r="H39" i="49" s="1"/>
  <c r="I38" i="49"/>
  <c r="J38" i="49"/>
  <c r="J39" i="49" s="1"/>
  <c r="K38" i="49"/>
  <c r="L38" i="49"/>
  <c r="L39" i="49" s="1"/>
  <c r="M38" i="49"/>
  <c r="D39" i="49"/>
  <c r="F39" i="49"/>
  <c r="I39" i="49"/>
  <c r="K39" i="49"/>
  <c r="M39" i="49"/>
  <c r="A42" i="49"/>
  <c r="A2" i="48"/>
  <c r="B2" i="48"/>
  <c r="A4" i="48"/>
  <c r="A5" i="48"/>
  <c r="C5" i="48"/>
  <c r="D5" i="48"/>
  <c r="E5" i="48"/>
  <c r="F5" i="48"/>
  <c r="G5" i="48"/>
  <c r="H5" i="48"/>
  <c r="I5" i="48"/>
  <c r="J5" i="48"/>
  <c r="K5" i="48"/>
  <c r="L5" i="48"/>
  <c r="M5" i="48"/>
  <c r="A6" i="48"/>
  <c r="A7" i="48"/>
  <c r="A8" i="48"/>
  <c r="A9" i="48"/>
  <c r="C9" i="48"/>
  <c r="D9" i="48"/>
  <c r="E9" i="48"/>
  <c r="F9" i="48"/>
  <c r="G9" i="48"/>
  <c r="H9" i="48"/>
  <c r="I9" i="48"/>
  <c r="J9" i="48"/>
  <c r="K9" i="48"/>
  <c r="L9" i="48"/>
  <c r="M9" i="48"/>
  <c r="A10" i="48"/>
  <c r="A11" i="48"/>
  <c r="A12" i="48"/>
  <c r="A13" i="48"/>
  <c r="A14" i="48"/>
  <c r="A15" i="48"/>
  <c r="D15" i="48"/>
  <c r="E15" i="48"/>
  <c r="F15" i="48"/>
  <c r="G15" i="48"/>
  <c r="H15" i="48"/>
  <c r="I15" i="48"/>
  <c r="J15" i="48"/>
  <c r="K15" i="48"/>
  <c r="L15" i="48"/>
  <c r="M15" i="48"/>
  <c r="A16" i="48"/>
  <c r="A17" i="48"/>
  <c r="A18" i="48"/>
  <c r="A19" i="48"/>
  <c r="C19" i="48"/>
  <c r="D19" i="48"/>
  <c r="E19" i="48"/>
  <c r="F19" i="48"/>
  <c r="G19" i="48"/>
  <c r="H19" i="48"/>
  <c r="I19" i="48"/>
  <c r="J19" i="48"/>
  <c r="K19" i="48"/>
  <c r="L19" i="48"/>
  <c r="M19" i="48"/>
  <c r="A20" i="48"/>
  <c r="A21" i="48"/>
  <c r="A22" i="48"/>
  <c r="A23" i="48"/>
  <c r="A24" i="48"/>
  <c r="A27" i="48"/>
  <c r="C28" i="48"/>
  <c r="D28" i="48"/>
  <c r="E28" i="48"/>
  <c r="F28" i="48"/>
  <c r="G28" i="48"/>
  <c r="H28" i="48"/>
  <c r="I28" i="48"/>
  <c r="J28" i="48"/>
  <c r="K28" i="48"/>
  <c r="L28" i="48"/>
  <c r="M28" i="48"/>
  <c r="C32" i="48"/>
  <c r="D32" i="48"/>
  <c r="E32" i="48"/>
  <c r="F32" i="48"/>
  <c r="G32" i="48"/>
  <c r="H32" i="48"/>
  <c r="I32" i="48"/>
  <c r="J32" i="48"/>
  <c r="K32" i="48"/>
  <c r="L32" i="48"/>
  <c r="M32" i="48"/>
  <c r="C38" i="48"/>
  <c r="D38" i="48"/>
  <c r="E38" i="48"/>
  <c r="F38" i="48"/>
  <c r="G38" i="48"/>
  <c r="H38" i="48"/>
  <c r="I38" i="48"/>
  <c r="J38" i="48"/>
  <c r="K38" i="48"/>
  <c r="L38" i="48"/>
  <c r="M38" i="48"/>
  <c r="C42" i="48"/>
  <c r="D42" i="48"/>
  <c r="E42" i="48"/>
  <c r="F42" i="48"/>
  <c r="G42" i="48"/>
  <c r="H42" i="48"/>
  <c r="I42" i="48"/>
  <c r="J42" i="48"/>
  <c r="K42" i="48"/>
  <c r="L42" i="48"/>
  <c r="M42" i="48"/>
  <c r="A50" i="48"/>
  <c r="A52" i="48"/>
  <c r="O52" i="48"/>
  <c r="N52" i="48" s="1"/>
  <c r="P52" i="48"/>
  <c r="Q52" i="48"/>
  <c r="A53" i="48"/>
  <c r="A54" i="48"/>
  <c r="A2" i="47"/>
  <c r="B2" i="47"/>
  <c r="A4" i="47"/>
  <c r="A20" i="47"/>
  <c r="D20" i="47"/>
  <c r="E20" i="47"/>
  <c r="F20" i="47"/>
  <c r="G20" i="47"/>
  <c r="H20" i="47"/>
  <c r="I20" i="47"/>
  <c r="J20" i="47"/>
  <c r="K20" i="47"/>
  <c r="L20" i="47"/>
  <c r="M20" i="47"/>
  <c r="A22" i="47"/>
  <c r="A38" i="47"/>
  <c r="D38" i="47"/>
  <c r="E38" i="47"/>
  <c r="F38" i="47"/>
  <c r="F40" i="47" s="1"/>
  <c r="F45" i="47" s="1"/>
  <c r="G38" i="47"/>
  <c r="H38" i="47"/>
  <c r="I38" i="47"/>
  <c r="J38" i="47"/>
  <c r="J40" i="47" s="1"/>
  <c r="J45" i="47" s="1"/>
  <c r="K38" i="47"/>
  <c r="L38" i="47"/>
  <c r="M38" i="47"/>
  <c r="A40" i="47"/>
  <c r="O43" i="47"/>
  <c r="N43" i="47" s="1"/>
  <c r="A44" i="47"/>
  <c r="N44" i="47"/>
  <c r="O44" i="47"/>
  <c r="P44" i="47"/>
  <c r="Q44" i="47"/>
  <c r="A45" i="47"/>
  <c r="A46" i="47"/>
  <c r="A2" i="46"/>
  <c r="B2" i="46"/>
  <c r="A4" i="46"/>
  <c r="A5" i="46"/>
  <c r="A6" i="46"/>
  <c r="N6" i="46"/>
  <c r="O6" i="46"/>
  <c r="P6" i="46"/>
  <c r="Q6" i="46"/>
  <c r="A7" i="46"/>
  <c r="A8" i="46"/>
  <c r="A9" i="46"/>
  <c r="A10" i="46"/>
  <c r="A11" i="46"/>
  <c r="O11" i="46"/>
  <c r="N11" i="46" s="1"/>
  <c r="P11" i="46"/>
  <c r="Q11" i="46"/>
  <c r="A12" i="46"/>
  <c r="A13" i="46"/>
  <c r="A14" i="46"/>
  <c r="A15" i="46"/>
  <c r="O15" i="46"/>
  <c r="N15" i="46" s="1"/>
  <c r="A16" i="46"/>
  <c r="A17" i="46"/>
  <c r="A18" i="46"/>
  <c r="A19" i="46"/>
  <c r="A20" i="46"/>
  <c r="A21" i="46"/>
  <c r="O21" i="46"/>
  <c r="N21" i="46" s="1"/>
  <c r="P21" i="46"/>
  <c r="Q21" i="46"/>
  <c r="A22" i="46"/>
  <c r="C22" i="46"/>
  <c r="D22" i="46"/>
  <c r="E22" i="46"/>
  <c r="F22" i="46"/>
  <c r="G22" i="46"/>
  <c r="H22" i="46"/>
  <c r="I22" i="46"/>
  <c r="J22" i="46"/>
  <c r="K22" i="46"/>
  <c r="L22" i="46"/>
  <c r="M22" i="46"/>
  <c r="A24" i="46"/>
  <c r="A25" i="46"/>
  <c r="A26" i="46"/>
  <c r="N26" i="46"/>
  <c r="O26" i="46"/>
  <c r="A27" i="46"/>
  <c r="A28" i="46"/>
  <c r="A29" i="46"/>
  <c r="O29" i="46"/>
  <c r="N29" i="46" s="1"/>
  <c r="P29" i="46"/>
  <c r="Q29" i="46"/>
  <c r="A30" i="46"/>
  <c r="A31" i="46"/>
  <c r="O31" i="46"/>
  <c r="N31" i="46" s="1"/>
  <c r="A32" i="46"/>
  <c r="A33" i="46"/>
  <c r="A34" i="46"/>
  <c r="A35" i="46"/>
  <c r="O35" i="46"/>
  <c r="N35" i="46" s="1"/>
  <c r="P35" i="46"/>
  <c r="Q35" i="46"/>
  <c r="A36" i="46"/>
  <c r="C36" i="46"/>
  <c r="D36" i="46"/>
  <c r="D38" i="46" s="1"/>
  <c r="D42" i="46" s="1"/>
  <c r="D46" i="46" s="1"/>
  <c r="E36" i="46"/>
  <c r="F36" i="46"/>
  <c r="G36" i="46"/>
  <c r="H36" i="46"/>
  <c r="I36" i="46"/>
  <c r="J36" i="46"/>
  <c r="K36" i="46"/>
  <c r="L36" i="46"/>
  <c r="L38" i="46" s="1"/>
  <c r="L42" i="46" s="1"/>
  <c r="L46" i="46" s="1"/>
  <c r="M36" i="46"/>
  <c r="A38" i="46"/>
  <c r="A39" i="46"/>
  <c r="A40" i="46"/>
  <c r="A41" i="46"/>
  <c r="N41" i="46"/>
  <c r="O41" i="46"/>
  <c r="P41" i="46"/>
  <c r="Q41" i="46"/>
  <c r="A42" i="46"/>
  <c r="A43" i="46"/>
  <c r="A42" i="47" s="1"/>
  <c r="N43" i="46"/>
  <c r="O43" i="46"/>
  <c r="O42" i="47" s="1"/>
  <c r="N42" i="47" s="1"/>
  <c r="P43" i="46"/>
  <c r="P42" i="47" s="1"/>
  <c r="Q43" i="46"/>
  <c r="Q42" i="47" s="1"/>
  <c r="A44" i="46"/>
  <c r="A43" i="47" s="1"/>
  <c r="O44" i="46"/>
  <c r="N44" i="46" s="1"/>
  <c r="P44" i="46"/>
  <c r="P43" i="47" s="1"/>
  <c r="Q44" i="46"/>
  <c r="Q43" i="47" s="1"/>
  <c r="A45" i="46"/>
  <c r="N45" i="46"/>
  <c r="O45" i="46"/>
  <c r="P45" i="46"/>
  <c r="Q45" i="46"/>
  <c r="A46" i="46"/>
  <c r="A47" i="46"/>
  <c r="B2" i="45"/>
  <c r="C10" i="45"/>
  <c r="D10" i="45"/>
  <c r="E10" i="45"/>
  <c r="F10" i="45"/>
  <c r="G10" i="45"/>
  <c r="H10" i="45"/>
  <c r="I10" i="45"/>
  <c r="J10" i="45"/>
  <c r="K10" i="45"/>
  <c r="C20" i="45"/>
  <c r="D20" i="45"/>
  <c r="E20" i="45"/>
  <c r="F20" i="45"/>
  <c r="G20" i="45"/>
  <c r="H20" i="45"/>
  <c r="I20" i="45"/>
  <c r="J20" i="45"/>
  <c r="K20" i="45"/>
  <c r="C36" i="45"/>
  <c r="D36" i="45"/>
  <c r="G37" i="45" s="1"/>
  <c r="E36" i="45"/>
  <c r="F36" i="45"/>
  <c r="I37" i="45" s="1"/>
  <c r="G36" i="45"/>
  <c r="H36" i="45"/>
  <c r="I36" i="45"/>
  <c r="I39" i="45" s="1"/>
  <c r="J36" i="45"/>
  <c r="K36" i="45"/>
  <c r="K39" i="45" s="1"/>
  <c r="F37" i="45"/>
  <c r="A43" i="45"/>
  <c r="B2" i="44"/>
  <c r="I8" i="44"/>
  <c r="A11" i="44"/>
  <c r="C11" i="44"/>
  <c r="C57" i="44" s="1"/>
  <c r="E11" i="44"/>
  <c r="I17" i="44"/>
  <c r="I18" i="44"/>
  <c r="I19" i="44"/>
  <c r="I22" i="44"/>
  <c r="I23" i="44"/>
  <c r="I24" i="44"/>
  <c r="I25" i="44"/>
  <c r="I26" i="44"/>
  <c r="I27" i="44"/>
  <c r="I28" i="44"/>
  <c r="I29" i="44"/>
  <c r="I30" i="44"/>
  <c r="I31" i="44"/>
  <c r="I32" i="44"/>
  <c r="I33" i="44"/>
  <c r="I34" i="44"/>
  <c r="A35" i="44"/>
  <c r="C35" i="44"/>
  <c r="E35" i="44"/>
  <c r="I39" i="44"/>
  <c r="I40" i="44"/>
  <c r="I41" i="44"/>
  <c r="I42" i="44"/>
  <c r="I43" i="44"/>
  <c r="I44" i="44"/>
  <c r="I45" i="44"/>
  <c r="I46" i="44"/>
  <c r="I47" i="44"/>
  <c r="I48" i="44"/>
  <c r="I49" i="44"/>
  <c r="I50" i="44"/>
  <c r="I51" i="44"/>
  <c r="I52" i="44"/>
  <c r="I53" i="44"/>
  <c r="I54" i="44"/>
  <c r="C55" i="44"/>
  <c r="D55" i="44"/>
  <c r="E55" i="44"/>
  <c r="F55" i="44"/>
  <c r="G55" i="44"/>
  <c r="I55" i="44"/>
  <c r="A59" i="44"/>
  <c r="B2" i="43"/>
  <c r="C3" i="43"/>
  <c r="D3" i="43"/>
  <c r="E3" i="43"/>
  <c r="F3" i="43"/>
  <c r="G3" i="43"/>
  <c r="H3" i="43"/>
  <c r="C13" i="43"/>
  <c r="D13" i="43"/>
  <c r="E13" i="43"/>
  <c r="F13" i="43"/>
  <c r="F14" i="43" s="1"/>
  <c r="G13" i="43"/>
  <c r="H13" i="43"/>
  <c r="I13" i="43"/>
  <c r="J13" i="43"/>
  <c r="J14" i="43" s="1"/>
  <c r="C29" i="43"/>
  <c r="D29" i="43"/>
  <c r="E29" i="43"/>
  <c r="F29" i="43"/>
  <c r="F30" i="43" s="1"/>
  <c r="G29" i="43"/>
  <c r="H29" i="43"/>
  <c r="I29" i="43"/>
  <c r="J29" i="43"/>
  <c r="A30" i="43"/>
  <c r="B30" i="43"/>
  <c r="J30" i="43"/>
  <c r="C45" i="43"/>
  <c r="D45" i="43"/>
  <c r="E45" i="43"/>
  <c r="F45" i="43"/>
  <c r="G46" i="43" s="1"/>
  <c r="G45" i="43"/>
  <c r="H45" i="43"/>
  <c r="I45" i="43"/>
  <c r="A46" i="43"/>
  <c r="B46" i="43"/>
  <c r="C48" i="43"/>
  <c r="E48" i="43"/>
  <c r="G48" i="43"/>
  <c r="C65" i="43"/>
  <c r="D65" i="43"/>
  <c r="E65" i="43"/>
  <c r="F65" i="43"/>
  <c r="G65" i="43"/>
  <c r="H65" i="43"/>
  <c r="I65" i="43"/>
  <c r="J65" i="43"/>
  <c r="K65" i="43"/>
  <c r="A66" i="43"/>
  <c r="B66" i="43"/>
  <c r="D66" i="43"/>
  <c r="F66" i="43"/>
  <c r="H66" i="43"/>
  <c r="J66" i="43"/>
  <c r="C81" i="43"/>
  <c r="D82" i="43" s="1"/>
  <c r="D81" i="43"/>
  <c r="E81" i="43"/>
  <c r="F82" i="43" s="1"/>
  <c r="F81" i="43"/>
  <c r="G81" i="43"/>
  <c r="H82" i="43" s="1"/>
  <c r="H81" i="43"/>
  <c r="I81" i="43"/>
  <c r="J82" i="43" s="1"/>
  <c r="J81" i="43"/>
  <c r="K81" i="43"/>
  <c r="A82" i="43"/>
  <c r="B82" i="43"/>
  <c r="E82" i="43"/>
  <c r="G82" i="43"/>
  <c r="I82" i="43"/>
  <c r="K82" i="43"/>
  <c r="C97" i="43"/>
  <c r="D97" i="43"/>
  <c r="E98" i="43" s="1"/>
  <c r="E97" i="43"/>
  <c r="F97" i="43"/>
  <c r="G98" i="43" s="1"/>
  <c r="G97" i="43"/>
  <c r="H97" i="43"/>
  <c r="I98" i="43" s="1"/>
  <c r="I97" i="43"/>
  <c r="J97" i="43"/>
  <c r="K98" i="43" s="1"/>
  <c r="K97" i="43"/>
  <c r="A98" i="43"/>
  <c r="B98" i="43"/>
  <c r="D98" i="43"/>
  <c r="F98" i="43"/>
  <c r="H98" i="43"/>
  <c r="J98" i="43"/>
  <c r="C100" i="43"/>
  <c r="E100" i="43"/>
  <c r="G100" i="43"/>
  <c r="I100" i="43"/>
  <c r="K100" i="43"/>
  <c r="A103" i="43"/>
  <c r="B103" i="43"/>
  <c r="C104" i="43"/>
  <c r="E104" i="43"/>
  <c r="G104" i="43"/>
  <c r="A105" i="43"/>
  <c r="A2" i="42"/>
  <c r="B2" i="42"/>
  <c r="C3" i="42"/>
  <c r="D3" i="42"/>
  <c r="E3" i="42"/>
  <c r="F3" i="42"/>
  <c r="G3" i="42"/>
  <c r="H3" i="42"/>
  <c r="I3" i="42"/>
  <c r="C9" i="42"/>
  <c r="D9" i="42"/>
  <c r="E9" i="42"/>
  <c r="F9" i="42"/>
  <c r="F34" i="42" s="1"/>
  <c r="G9" i="42"/>
  <c r="H9" i="42"/>
  <c r="I9" i="42"/>
  <c r="J9" i="42"/>
  <c r="K9" i="42"/>
  <c r="L9" i="42"/>
  <c r="A12" i="42"/>
  <c r="C15" i="42"/>
  <c r="D15" i="42"/>
  <c r="E15" i="42"/>
  <c r="F15" i="42"/>
  <c r="G15" i="42"/>
  <c r="H15" i="42"/>
  <c r="I15" i="42"/>
  <c r="J15" i="42"/>
  <c r="K15" i="42"/>
  <c r="L15" i="42"/>
  <c r="A18" i="42"/>
  <c r="C21" i="42"/>
  <c r="D21" i="42"/>
  <c r="E21" i="42"/>
  <c r="F21" i="42"/>
  <c r="G21" i="42"/>
  <c r="H21" i="42"/>
  <c r="I21" i="42"/>
  <c r="J21" i="42"/>
  <c r="K21" i="42"/>
  <c r="L21" i="42"/>
  <c r="A24" i="42"/>
  <c r="C27" i="42"/>
  <c r="D27" i="42"/>
  <c r="E27" i="42"/>
  <c r="F27" i="42"/>
  <c r="G27" i="42"/>
  <c r="H27" i="42"/>
  <c r="I27" i="42"/>
  <c r="J27" i="42"/>
  <c r="K27" i="42"/>
  <c r="L27" i="42"/>
  <c r="C33" i="42"/>
  <c r="D33" i="42"/>
  <c r="E33" i="42"/>
  <c r="F33" i="42"/>
  <c r="G33" i="42"/>
  <c r="H33" i="42"/>
  <c r="I33" i="42"/>
  <c r="C40" i="42"/>
  <c r="D40" i="42"/>
  <c r="E40" i="42"/>
  <c r="F40" i="42"/>
  <c r="G40" i="42"/>
  <c r="H40" i="42"/>
  <c r="I40" i="42"/>
  <c r="J40" i="42"/>
  <c r="K40" i="42"/>
  <c r="L40" i="42"/>
  <c r="A43" i="42"/>
  <c r="C46" i="42"/>
  <c r="D46" i="42"/>
  <c r="E46" i="42"/>
  <c r="F46" i="42"/>
  <c r="F65" i="42" s="1"/>
  <c r="G46" i="42"/>
  <c r="H46" i="42"/>
  <c r="I46" i="42"/>
  <c r="J46" i="42"/>
  <c r="K46" i="42"/>
  <c r="L46" i="42"/>
  <c r="A49" i="42"/>
  <c r="C52" i="42"/>
  <c r="D52" i="42"/>
  <c r="E52" i="42"/>
  <c r="F52" i="42"/>
  <c r="G52" i="42"/>
  <c r="H52" i="42"/>
  <c r="I52" i="42"/>
  <c r="J52" i="42"/>
  <c r="K52" i="42"/>
  <c r="L52" i="42"/>
  <c r="A55" i="42"/>
  <c r="C58" i="42"/>
  <c r="D58" i="42"/>
  <c r="E58" i="42"/>
  <c r="F58" i="42"/>
  <c r="G58" i="42"/>
  <c r="H58" i="42"/>
  <c r="I58" i="42"/>
  <c r="J58" i="42"/>
  <c r="K58" i="42"/>
  <c r="L58" i="42"/>
  <c r="C64" i="42"/>
  <c r="D64" i="42"/>
  <c r="E64" i="42"/>
  <c r="F64" i="42"/>
  <c r="G64" i="42"/>
  <c r="H64" i="42"/>
  <c r="I64" i="42"/>
  <c r="J64" i="42"/>
  <c r="K64" i="42"/>
  <c r="L64" i="42"/>
  <c r="J65" i="42"/>
  <c r="J88" i="20" s="1"/>
  <c r="A67" i="42"/>
  <c r="A2" i="41"/>
  <c r="B2" i="41"/>
  <c r="C3" i="41"/>
  <c r="D3" i="41"/>
  <c r="E3" i="41"/>
  <c r="F3" i="41"/>
  <c r="G3" i="41"/>
  <c r="H3" i="41"/>
  <c r="A5" i="41"/>
  <c r="C8" i="41"/>
  <c r="D8" i="41"/>
  <c r="E8" i="41"/>
  <c r="F8" i="41"/>
  <c r="G8" i="41"/>
  <c r="H8" i="41"/>
  <c r="I8" i="41"/>
  <c r="J8" i="41"/>
  <c r="K8" i="41"/>
  <c r="A12" i="41"/>
  <c r="A13" i="41"/>
  <c r="A18" i="41" s="1"/>
  <c r="C13" i="41"/>
  <c r="D13" i="41"/>
  <c r="E13" i="41"/>
  <c r="F13" i="41"/>
  <c r="G13" i="41"/>
  <c r="H13" i="41"/>
  <c r="I13" i="41"/>
  <c r="J13" i="41"/>
  <c r="K13" i="41"/>
  <c r="A14" i="41"/>
  <c r="A19" i="41" s="1"/>
  <c r="A16" i="41"/>
  <c r="A17" i="41"/>
  <c r="C18" i="41"/>
  <c r="D18" i="41"/>
  <c r="E18" i="41"/>
  <c r="E25" i="41" s="1"/>
  <c r="E59" i="41" s="1"/>
  <c r="F18" i="41"/>
  <c r="G18" i="41"/>
  <c r="G25" i="41" s="1"/>
  <c r="H18" i="41"/>
  <c r="I18" i="41"/>
  <c r="I25" i="41" s="1"/>
  <c r="J18" i="41"/>
  <c r="K18" i="41"/>
  <c r="A21" i="41"/>
  <c r="A22" i="41"/>
  <c r="A23" i="41"/>
  <c r="C23" i="41"/>
  <c r="D23" i="41"/>
  <c r="E23" i="41"/>
  <c r="F23" i="41"/>
  <c r="G23" i="41"/>
  <c r="H23" i="41"/>
  <c r="I23" i="41"/>
  <c r="J23" i="41"/>
  <c r="K23" i="41"/>
  <c r="A24" i="41"/>
  <c r="F25" i="41"/>
  <c r="F59" i="41" s="1"/>
  <c r="K25" i="41"/>
  <c r="C26" i="41"/>
  <c r="D26" i="41"/>
  <c r="D53" i="41" s="1"/>
  <c r="E26" i="41"/>
  <c r="F26" i="41"/>
  <c r="G26" i="41"/>
  <c r="H26" i="41"/>
  <c r="H53" i="41" s="1"/>
  <c r="I26" i="41"/>
  <c r="J26" i="41"/>
  <c r="K26" i="41"/>
  <c r="A29" i="41"/>
  <c r="C32" i="41"/>
  <c r="D32" i="41"/>
  <c r="D49" i="41" s="1"/>
  <c r="E32" i="41"/>
  <c r="F32" i="41"/>
  <c r="F49" i="41"/>
  <c r="G32" i="41"/>
  <c r="H32" i="41"/>
  <c r="H49" i="41" s="1"/>
  <c r="I32" i="41"/>
  <c r="J32" i="41"/>
  <c r="K32" i="41"/>
  <c r="A36" i="41"/>
  <c r="A37" i="41"/>
  <c r="A42" i="41" s="1"/>
  <c r="C37" i="41"/>
  <c r="D37" i="41"/>
  <c r="E37" i="41"/>
  <c r="F37" i="41"/>
  <c r="G37" i="41"/>
  <c r="H37" i="41"/>
  <c r="I37" i="41"/>
  <c r="J37" i="41"/>
  <c r="J49" i="41" s="1"/>
  <c r="K37" i="41"/>
  <c r="A38" i="41"/>
  <c r="A43" i="41" s="1"/>
  <c r="A40" i="41"/>
  <c r="A41" i="41"/>
  <c r="C42" i="41"/>
  <c r="C49" i="41" s="1"/>
  <c r="D42" i="41"/>
  <c r="E42" i="41"/>
  <c r="E49" i="41" s="1"/>
  <c r="E60" i="41" s="1"/>
  <c r="F42" i="41"/>
  <c r="G42" i="41"/>
  <c r="G49" i="41" s="1"/>
  <c r="H42" i="41"/>
  <c r="I42" i="41"/>
  <c r="J42" i="41"/>
  <c r="K42" i="41"/>
  <c r="K49" i="41" s="1"/>
  <c r="A45" i="41"/>
  <c r="A46" i="41"/>
  <c r="A47" i="41"/>
  <c r="C47" i="41"/>
  <c r="D47" i="41"/>
  <c r="E47" i="41"/>
  <c r="F47" i="41"/>
  <c r="G47" i="41"/>
  <c r="H47" i="41"/>
  <c r="I47" i="41"/>
  <c r="J47" i="41"/>
  <c r="K47" i="41"/>
  <c r="A48" i="41"/>
  <c r="C50" i="41"/>
  <c r="C53" i="41" s="1"/>
  <c r="D50" i="41"/>
  <c r="E50" i="41"/>
  <c r="E53" i="41" s="1"/>
  <c r="F50" i="41"/>
  <c r="G50" i="41"/>
  <c r="G53" i="41" s="1"/>
  <c r="H50" i="41"/>
  <c r="I50" i="41"/>
  <c r="I53" i="41" s="1"/>
  <c r="J50" i="41"/>
  <c r="K50" i="41"/>
  <c r="K53" i="41" s="1"/>
  <c r="F53" i="41"/>
  <c r="J53" i="41"/>
  <c r="A54" i="41"/>
  <c r="A2" i="40"/>
  <c r="B2" i="40"/>
  <c r="C3" i="40"/>
  <c r="D3" i="40"/>
  <c r="E3" i="40"/>
  <c r="F3" i="40"/>
  <c r="G3" i="40"/>
  <c r="H3" i="40"/>
  <c r="A7" i="40"/>
  <c r="C7" i="40"/>
  <c r="D7" i="40"/>
  <c r="E7" i="40"/>
  <c r="F7" i="40"/>
  <c r="F27" i="40" s="1"/>
  <c r="F47" i="40" s="1"/>
  <c r="G7" i="40"/>
  <c r="H7" i="40"/>
  <c r="I7" i="40"/>
  <c r="J7" i="40"/>
  <c r="J27" i="40" s="1"/>
  <c r="K7" i="40"/>
  <c r="A8" i="40"/>
  <c r="A9" i="40"/>
  <c r="A10" i="40"/>
  <c r="A11" i="40"/>
  <c r="A12" i="40"/>
  <c r="A13" i="40"/>
  <c r="A14" i="40"/>
  <c r="A15" i="40"/>
  <c r="C15" i="40"/>
  <c r="D15" i="40"/>
  <c r="E15" i="40"/>
  <c r="F15" i="40"/>
  <c r="G15" i="40"/>
  <c r="H15" i="40"/>
  <c r="I15" i="40"/>
  <c r="J15" i="40"/>
  <c r="K15" i="40"/>
  <c r="A16" i="40"/>
  <c r="A17" i="40"/>
  <c r="A18" i="40"/>
  <c r="A19" i="40"/>
  <c r="A21" i="40"/>
  <c r="C21" i="40"/>
  <c r="C27" i="40" s="1"/>
  <c r="D21" i="40"/>
  <c r="E21" i="40"/>
  <c r="E27" i="40" s="1"/>
  <c r="F21" i="40"/>
  <c r="G21" i="40"/>
  <c r="G27" i="40" s="1"/>
  <c r="H21" i="40"/>
  <c r="I21" i="40"/>
  <c r="I27" i="40" s="1"/>
  <c r="J21" i="40"/>
  <c r="K21" i="40"/>
  <c r="A22" i="40"/>
  <c r="A24" i="40"/>
  <c r="C24" i="40"/>
  <c r="D24" i="40"/>
  <c r="E24" i="40"/>
  <c r="F24" i="40"/>
  <c r="G24" i="40"/>
  <c r="H24" i="40"/>
  <c r="I24" i="40"/>
  <c r="J24" i="40"/>
  <c r="K24" i="40"/>
  <c r="A25" i="40"/>
  <c r="D27" i="40"/>
  <c r="H27" i="40"/>
  <c r="K27" i="40"/>
  <c r="C30" i="40"/>
  <c r="D30" i="40"/>
  <c r="E30" i="40"/>
  <c r="E45" i="40" s="1"/>
  <c r="F30" i="40"/>
  <c r="G30" i="40"/>
  <c r="H30" i="40"/>
  <c r="I30" i="40"/>
  <c r="J30" i="40"/>
  <c r="K30" i="40"/>
  <c r="A31" i="40"/>
  <c r="A32" i="40"/>
  <c r="A33" i="40"/>
  <c r="A34" i="40"/>
  <c r="A35" i="40"/>
  <c r="A36" i="40"/>
  <c r="C37" i="40"/>
  <c r="D37" i="40"/>
  <c r="E37" i="40"/>
  <c r="F37" i="40"/>
  <c r="G37" i="40"/>
  <c r="H37" i="40"/>
  <c r="I37" i="40"/>
  <c r="J37" i="40"/>
  <c r="K37" i="40"/>
  <c r="A38" i="40"/>
  <c r="A39" i="40"/>
  <c r="C39" i="40"/>
  <c r="D39" i="40"/>
  <c r="D45" i="40" s="1"/>
  <c r="E39" i="40"/>
  <c r="F39" i="40"/>
  <c r="F45" i="40" s="1"/>
  <c r="G39" i="40"/>
  <c r="H39" i="40"/>
  <c r="H45" i="40" s="1"/>
  <c r="I39" i="40"/>
  <c r="J39" i="40"/>
  <c r="J45" i="40" s="1"/>
  <c r="K39" i="40"/>
  <c r="A40" i="40"/>
  <c r="C42" i="40"/>
  <c r="D42" i="40"/>
  <c r="E42" i="40"/>
  <c r="F42" i="40"/>
  <c r="G42" i="40"/>
  <c r="H42" i="40"/>
  <c r="I42" i="40"/>
  <c r="J42" i="40"/>
  <c r="K42" i="40"/>
  <c r="I45" i="40"/>
  <c r="D47" i="40"/>
  <c r="H47" i="40"/>
  <c r="A48" i="40"/>
  <c r="A2" i="39"/>
  <c r="B2" i="39"/>
  <c r="C3" i="39"/>
  <c r="D3" i="39"/>
  <c r="E3" i="39"/>
  <c r="F3" i="39"/>
  <c r="G3" i="39"/>
  <c r="H3" i="39"/>
  <c r="C7" i="39"/>
  <c r="D7" i="39"/>
  <c r="E7" i="39"/>
  <c r="F7" i="39"/>
  <c r="G7" i="39"/>
  <c r="H7" i="39"/>
  <c r="B8" i="39"/>
  <c r="I8" i="39"/>
  <c r="J8" i="39" s="1"/>
  <c r="K8" i="39" s="1"/>
  <c r="B9" i="39"/>
  <c r="I9" i="39"/>
  <c r="J9" i="39" s="1"/>
  <c r="K9" i="39" s="1"/>
  <c r="B10" i="39"/>
  <c r="I10" i="39"/>
  <c r="J10" i="39" s="1"/>
  <c r="K10" i="39" s="1"/>
  <c r="B11" i="39"/>
  <c r="I11" i="39"/>
  <c r="J11" i="39" s="1"/>
  <c r="K11" i="39" s="1"/>
  <c r="B12" i="39"/>
  <c r="I12" i="39"/>
  <c r="J12" i="39" s="1"/>
  <c r="K12" i="39" s="1"/>
  <c r="B13" i="39"/>
  <c r="I14" i="39"/>
  <c r="J14" i="39" s="1"/>
  <c r="K14" i="39" s="1"/>
  <c r="C15" i="39"/>
  <c r="D15" i="39"/>
  <c r="E15" i="39"/>
  <c r="F15" i="39"/>
  <c r="G15" i="39"/>
  <c r="H15" i="39"/>
  <c r="I15" i="39"/>
  <c r="J15" i="39"/>
  <c r="K15" i="39"/>
  <c r="B16" i="39"/>
  <c r="B17" i="39"/>
  <c r="B18" i="39"/>
  <c r="B19" i="39"/>
  <c r="A20" i="39"/>
  <c r="A20" i="40" s="1"/>
  <c r="C21" i="39"/>
  <c r="D21" i="39"/>
  <c r="E21" i="39"/>
  <c r="F21" i="39"/>
  <c r="G21" i="39"/>
  <c r="H21" i="39"/>
  <c r="I21" i="39"/>
  <c r="J21" i="39"/>
  <c r="K21" i="39"/>
  <c r="C24" i="39"/>
  <c r="C27" i="39" s="1"/>
  <c r="D24" i="39"/>
  <c r="E24" i="39"/>
  <c r="F24" i="39"/>
  <c r="G24" i="39"/>
  <c r="G27" i="39" s="1"/>
  <c r="H24" i="39"/>
  <c r="I24" i="39"/>
  <c r="J24" i="39"/>
  <c r="K24" i="39"/>
  <c r="D27" i="39"/>
  <c r="F27" i="39"/>
  <c r="H27" i="39"/>
  <c r="A30" i="39"/>
  <c r="A30" i="40" s="1"/>
  <c r="C30" i="39"/>
  <c r="D30" i="39"/>
  <c r="E30" i="39"/>
  <c r="F30" i="39"/>
  <c r="G30" i="39"/>
  <c r="H30" i="39"/>
  <c r="I31" i="39"/>
  <c r="J31" i="39" s="1"/>
  <c r="K31" i="39" s="1"/>
  <c r="K30" i="39" s="1"/>
  <c r="K45" i="39" s="1"/>
  <c r="A37" i="39"/>
  <c r="A37" i="40" s="1"/>
  <c r="C37" i="39"/>
  <c r="D37" i="39"/>
  <c r="E37" i="39"/>
  <c r="F37" i="39"/>
  <c r="G37" i="39"/>
  <c r="H37" i="39"/>
  <c r="I37" i="39"/>
  <c r="J37" i="39"/>
  <c r="K37" i="39"/>
  <c r="A39" i="39"/>
  <c r="C39" i="39"/>
  <c r="D39" i="39"/>
  <c r="E39" i="39"/>
  <c r="F39" i="39"/>
  <c r="G39" i="39"/>
  <c r="H39" i="39"/>
  <c r="I39" i="39"/>
  <c r="J39" i="39"/>
  <c r="K39" i="39"/>
  <c r="A40" i="39"/>
  <c r="A42" i="39"/>
  <c r="A42" i="40" s="1"/>
  <c r="C42" i="39"/>
  <c r="D42" i="39"/>
  <c r="D45" i="39" s="1"/>
  <c r="E42" i="39"/>
  <c r="F42" i="39"/>
  <c r="G42" i="39"/>
  <c r="H42" i="39"/>
  <c r="H45" i="39" s="1"/>
  <c r="I42" i="39"/>
  <c r="J42" i="39"/>
  <c r="K42" i="39"/>
  <c r="A43" i="39"/>
  <c r="A43" i="40" s="1"/>
  <c r="F45" i="39"/>
  <c r="F46" i="39" s="1"/>
  <c r="D46" i="39"/>
  <c r="H46" i="39"/>
  <c r="A47" i="39"/>
  <c r="B2" i="38"/>
  <c r="C3" i="38"/>
  <c r="D3" i="38"/>
  <c r="E3" i="38"/>
  <c r="F3" i="38"/>
  <c r="G3" i="38"/>
  <c r="H3" i="38"/>
  <c r="C17" i="38"/>
  <c r="D17" i="38"/>
  <c r="E17" i="38"/>
  <c r="E34" i="38" s="1"/>
  <c r="F17" i="38"/>
  <c r="G17" i="38"/>
  <c r="G34" i="38" s="1"/>
  <c r="H17" i="38"/>
  <c r="I17" i="38"/>
  <c r="I34" i="38" s="1"/>
  <c r="J17" i="38"/>
  <c r="K17" i="38"/>
  <c r="A20" i="38"/>
  <c r="A21" i="38"/>
  <c r="A22" i="38"/>
  <c r="A23" i="38"/>
  <c r="A24" i="38"/>
  <c r="A25" i="38"/>
  <c r="A26" i="38"/>
  <c r="A27" i="38"/>
  <c r="A28" i="38"/>
  <c r="A29" i="38"/>
  <c r="A30" i="38"/>
  <c r="A31" i="38"/>
  <c r="C32" i="38"/>
  <c r="D32" i="38"/>
  <c r="D34" i="38" s="1"/>
  <c r="E32" i="38"/>
  <c r="F32" i="38"/>
  <c r="F34" i="38" s="1"/>
  <c r="G32" i="38"/>
  <c r="H32" i="38"/>
  <c r="H34" i="38" s="1"/>
  <c r="I32" i="38"/>
  <c r="J32" i="38"/>
  <c r="J34" i="38" s="1"/>
  <c r="K32" i="38"/>
  <c r="C34" i="38"/>
  <c r="K34" i="38"/>
  <c r="C50" i="38"/>
  <c r="D50" i="38"/>
  <c r="D67" i="38" s="1"/>
  <c r="E50" i="38"/>
  <c r="F50" i="38"/>
  <c r="F67" i="38" s="1"/>
  <c r="G50" i="38"/>
  <c r="H50" i="38"/>
  <c r="H67" i="38" s="1"/>
  <c r="I50" i="38"/>
  <c r="J50" i="38"/>
  <c r="J67" i="38" s="1"/>
  <c r="K12" i="17" s="1"/>
  <c r="K50" i="38"/>
  <c r="A53" i="38"/>
  <c r="A54" i="38"/>
  <c r="A55" i="38"/>
  <c r="A56" i="38"/>
  <c r="A57" i="38"/>
  <c r="A58" i="38"/>
  <c r="A59" i="38"/>
  <c r="A60" i="38"/>
  <c r="A61" i="38"/>
  <c r="A62" i="38"/>
  <c r="A63" i="38"/>
  <c r="A64" i="38"/>
  <c r="C65" i="38"/>
  <c r="C67" i="38" s="1"/>
  <c r="D65" i="38"/>
  <c r="E65" i="38"/>
  <c r="E67" i="38" s="1"/>
  <c r="F65" i="38"/>
  <c r="G65" i="38"/>
  <c r="G67" i="38" s="1"/>
  <c r="H65" i="38"/>
  <c r="I65" i="38"/>
  <c r="I67" i="38" s="1"/>
  <c r="J65" i="38"/>
  <c r="K65" i="38"/>
  <c r="K67" i="38" s="1"/>
  <c r="A69" i="38"/>
  <c r="B2" i="37"/>
  <c r="O5" i="37"/>
  <c r="O6" i="37"/>
  <c r="O7" i="37"/>
  <c r="O8" i="37"/>
  <c r="O9" i="37"/>
  <c r="O10" i="37"/>
  <c r="O11" i="37"/>
  <c r="K12" i="37"/>
  <c r="M12" i="37"/>
  <c r="M24" i="37" s="1"/>
  <c r="N12" i="37"/>
  <c r="O12" i="37"/>
  <c r="O15" i="37"/>
  <c r="O16" i="37"/>
  <c r="O17" i="37"/>
  <c r="O18" i="37"/>
  <c r="O19" i="37"/>
  <c r="O20" i="37"/>
  <c r="O21" i="37"/>
  <c r="K22" i="37"/>
  <c r="K24" i="37" s="1"/>
  <c r="M22" i="37"/>
  <c r="N22" i="37"/>
  <c r="N24" i="37" s="1"/>
  <c r="A26" i="37"/>
  <c r="B2" i="36"/>
  <c r="C3" i="36"/>
  <c r="D3" i="36"/>
  <c r="E3" i="36"/>
  <c r="F3" i="36"/>
  <c r="G3" i="36"/>
  <c r="H3" i="36"/>
  <c r="C17" i="36"/>
  <c r="D17" i="36"/>
  <c r="E17" i="36"/>
  <c r="F17" i="36"/>
  <c r="G17" i="36"/>
  <c r="H17" i="36"/>
  <c r="I17" i="36"/>
  <c r="J17" i="36"/>
  <c r="K17" i="36"/>
  <c r="A20" i="36"/>
  <c r="A21" i="36"/>
  <c r="A22" i="36"/>
  <c r="A23" i="36"/>
  <c r="A24" i="36"/>
  <c r="A25" i="36"/>
  <c r="A26" i="36"/>
  <c r="A27" i="36"/>
  <c r="A28" i="36"/>
  <c r="C30" i="36"/>
  <c r="D30" i="36"/>
  <c r="E30" i="36"/>
  <c r="F30" i="36"/>
  <c r="G30" i="36"/>
  <c r="H30" i="36"/>
  <c r="I30" i="36"/>
  <c r="J30" i="36"/>
  <c r="K30" i="36"/>
  <c r="C32" i="36"/>
  <c r="E32" i="36"/>
  <c r="G32" i="36"/>
  <c r="I32" i="36"/>
  <c r="K32" i="36"/>
  <c r="A34" i="36"/>
  <c r="A2" i="35"/>
  <c r="B2" i="35"/>
  <c r="C3" i="35"/>
  <c r="D3" i="35"/>
  <c r="E3" i="35"/>
  <c r="F3" i="35"/>
  <c r="G3" i="35"/>
  <c r="H3" i="35"/>
  <c r="C15" i="35"/>
  <c r="D15" i="35"/>
  <c r="E15" i="35"/>
  <c r="F15" i="35"/>
  <c r="G15" i="35"/>
  <c r="H15" i="35"/>
  <c r="J15" i="35"/>
  <c r="I15" i="35" s="1"/>
  <c r="K15" i="35"/>
  <c r="K17" i="35" s="1"/>
  <c r="L15" i="35"/>
  <c r="C17" i="35"/>
  <c r="D17" i="35"/>
  <c r="E17" i="35"/>
  <c r="F17" i="35"/>
  <c r="G17" i="35"/>
  <c r="G18" i="35" s="1"/>
  <c r="H17" i="35"/>
  <c r="J17" i="35"/>
  <c r="I17" i="35" s="1"/>
  <c r="L17" i="35"/>
  <c r="D18" i="35"/>
  <c r="H18" i="35"/>
  <c r="A21" i="35"/>
  <c r="A22" i="35"/>
  <c r="A23" i="35"/>
  <c r="A24" i="35"/>
  <c r="A25" i="35"/>
  <c r="A26" i="35"/>
  <c r="A27" i="35"/>
  <c r="A28" i="35"/>
  <c r="A29" i="35"/>
  <c r="A30" i="35"/>
  <c r="C30" i="35"/>
  <c r="C32" i="35" s="1"/>
  <c r="D30" i="35"/>
  <c r="E30" i="35"/>
  <c r="E32" i="35" s="1"/>
  <c r="F30" i="35"/>
  <c r="G30" i="35"/>
  <c r="G32" i="35" s="1"/>
  <c r="H30" i="35"/>
  <c r="I30" i="35"/>
  <c r="J30" i="35"/>
  <c r="K30" i="35"/>
  <c r="K32" i="35" s="1"/>
  <c r="L33" i="35" s="1"/>
  <c r="L30" i="35"/>
  <c r="A31" i="35"/>
  <c r="D32" i="35"/>
  <c r="F32" i="35"/>
  <c r="F33" i="35" s="1"/>
  <c r="H32" i="35"/>
  <c r="J32" i="35"/>
  <c r="I32" i="35" s="1"/>
  <c r="L32" i="35"/>
  <c r="G33" i="35"/>
  <c r="G34" i="35" s="1"/>
  <c r="A36" i="35"/>
  <c r="A37" i="35"/>
  <c r="I37" i="35"/>
  <c r="A38" i="35"/>
  <c r="I38" i="35"/>
  <c r="A39" i="35"/>
  <c r="I39" i="35"/>
  <c r="A40" i="35"/>
  <c r="I40" i="35"/>
  <c r="A41" i="35"/>
  <c r="I41" i="35"/>
  <c r="A42" i="35"/>
  <c r="I42" i="35"/>
  <c r="A43" i="35"/>
  <c r="I43" i="35"/>
  <c r="A44" i="35"/>
  <c r="I44" i="35"/>
  <c r="A45" i="35"/>
  <c r="C45" i="35"/>
  <c r="D45" i="35"/>
  <c r="D47" i="35" s="1"/>
  <c r="E48" i="35" s="1"/>
  <c r="E45" i="35"/>
  <c r="F45" i="35"/>
  <c r="F47" i="35" s="1"/>
  <c r="G45" i="35"/>
  <c r="H45" i="35"/>
  <c r="H47" i="35" s="1"/>
  <c r="J45" i="35"/>
  <c r="K45" i="35"/>
  <c r="L45" i="35"/>
  <c r="A46" i="35"/>
  <c r="I46" i="35"/>
  <c r="C47" i="35"/>
  <c r="E47" i="35"/>
  <c r="G47" i="35"/>
  <c r="J47" i="35"/>
  <c r="K47" i="35"/>
  <c r="L47" i="35"/>
  <c r="L48" i="35" s="1"/>
  <c r="A48" i="35"/>
  <c r="D48" i="35"/>
  <c r="H48" i="35"/>
  <c r="A50" i="35"/>
  <c r="A2" i="34"/>
  <c r="B2" i="34"/>
  <c r="S39" i="34"/>
  <c r="S40" i="34"/>
  <c r="A2" i="33"/>
  <c r="B2" i="33"/>
  <c r="S39" i="33"/>
  <c r="S40" i="33"/>
  <c r="A88" i="33"/>
  <c r="A2" i="32"/>
  <c r="B2" i="32"/>
  <c r="S39" i="32"/>
  <c r="S40" i="32"/>
  <c r="A50" i="32"/>
  <c r="A2" i="31"/>
  <c r="B2" i="31"/>
  <c r="S39" i="31"/>
  <c r="S40" i="31"/>
  <c r="A50" i="31"/>
  <c r="A2" i="30"/>
  <c r="B2" i="30"/>
  <c r="C3" i="30"/>
  <c r="D3" i="30"/>
  <c r="E3" i="30"/>
  <c r="F3" i="30"/>
  <c r="G3" i="30"/>
  <c r="H3" i="30"/>
  <c r="C37" i="30"/>
  <c r="D37" i="30"/>
  <c r="E37" i="30"/>
  <c r="F37" i="30"/>
  <c r="G37" i="30"/>
  <c r="H37" i="30"/>
  <c r="I37" i="30"/>
  <c r="J37" i="30"/>
  <c r="K37" i="30"/>
  <c r="C63" i="30"/>
  <c r="D63" i="30"/>
  <c r="E63" i="30"/>
  <c r="F63" i="30"/>
  <c r="G63" i="30"/>
  <c r="H63" i="30"/>
  <c r="I63" i="30"/>
  <c r="J63" i="30"/>
  <c r="K63" i="30"/>
  <c r="A65" i="30"/>
  <c r="A2" i="29"/>
  <c r="C2" i="29"/>
  <c r="D3" i="29"/>
  <c r="E3" i="29"/>
  <c r="F3" i="29"/>
  <c r="G3" i="29"/>
  <c r="H3" i="29"/>
  <c r="I3" i="29"/>
  <c r="J3" i="29"/>
  <c r="A5" i="29"/>
  <c r="E16" i="29"/>
  <c r="F16" i="29"/>
  <c r="G16" i="29"/>
  <c r="H16" i="29"/>
  <c r="I16" i="29"/>
  <c r="J16" i="29"/>
  <c r="K16" i="29"/>
  <c r="L16" i="29"/>
  <c r="M16" i="29"/>
  <c r="B18" i="29"/>
  <c r="A20" i="29"/>
  <c r="A38" i="29"/>
  <c r="A39" i="29"/>
  <c r="A40" i="29"/>
  <c r="A41" i="29"/>
  <c r="A42" i="29"/>
  <c r="D50" i="29"/>
  <c r="E50" i="29"/>
  <c r="E42" i="29" s="1"/>
  <c r="F50" i="29"/>
  <c r="G50" i="29"/>
  <c r="G42" i="29" s="1"/>
  <c r="H50" i="29"/>
  <c r="H42" i="29" s="1"/>
  <c r="I50" i="29"/>
  <c r="I42" i="29" s="1"/>
  <c r="J50" i="29"/>
  <c r="K50" i="29"/>
  <c r="K42" i="29" s="1"/>
  <c r="L50" i="29"/>
  <c r="M50" i="29"/>
  <c r="M42" i="29" s="1"/>
  <c r="A51" i="29"/>
  <c r="D51" i="29"/>
  <c r="E51" i="29"/>
  <c r="F51" i="29"/>
  <c r="G51" i="29"/>
  <c r="H51" i="29"/>
  <c r="I51" i="29"/>
  <c r="J51" i="29"/>
  <c r="D53" i="29"/>
  <c r="E53" i="29"/>
  <c r="F53" i="29"/>
  <c r="G53" i="29"/>
  <c r="H53" i="29"/>
  <c r="I53" i="29"/>
  <c r="J53" i="29"/>
  <c r="D56" i="29"/>
  <c r="E56" i="29"/>
  <c r="F56" i="29"/>
  <c r="G56" i="29"/>
  <c r="H56" i="29"/>
  <c r="I56" i="29"/>
  <c r="J56" i="29"/>
  <c r="B57" i="29"/>
  <c r="B58" i="29"/>
  <c r="K68" i="29"/>
  <c r="L68" i="29"/>
  <c r="M68" i="29"/>
  <c r="L72" i="29"/>
  <c r="M72" i="29" s="1"/>
  <c r="L73" i="29"/>
  <c r="M73" i="29" s="1"/>
  <c r="L74" i="29"/>
  <c r="M74" i="29" s="1"/>
  <c r="K75" i="29"/>
  <c r="L78" i="29"/>
  <c r="L79" i="29"/>
  <c r="M79" i="29" s="1"/>
  <c r="K82" i="29"/>
  <c r="A84" i="29"/>
  <c r="K84" i="29"/>
  <c r="L84" i="29"/>
  <c r="M84" i="29"/>
  <c r="E98" i="29"/>
  <c r="F98" i="29"/>
  <c r="G98" i="29"/>
  <c r="H98" i="29"/>
  <c r="I98" i="29"/>
  <c r="J98" i="29"/>
  <c r="K98" i="29"/>
  <c r="L98" i="29"/>
  <c r="M98" i="29"/>
  <c r="K120" i="29"/>
  <c r="A137" i="29"/>
  <c r="D2" i="28"/>
  <c r="F2" i="28"/>
  <c r="G3" i="28"/>
  <c r="H3" i="28"/>
  <c r="I3" i="28"/>
  <c r="J3" i="28"/>
  <c r="K3" i="28"/>
  <c r="L3" i="28"/>
  <c r="M3" i="28"/>
  <c r="D41" i="28"/>
  <c r="E41" i="28"/>
  <c r="F41" i="28"/>
  <c r="G41" i="28"/>
  <c r="H41" i="28"/>
  <c r="I41" i="28"/>
  <c r="J41" i="28"/>
  <c r="K41" i="28"/>
  <c r="L41" i="28"/>
  <c r="M41" i="28"/>
  <c r="D45" i="28"/>
  <c r="E45" i="28"/>
  <c r="F45" i="28"/>
  <c r="G45" i="28"/>
  <c r="H45" i="28"/>
  <c r="I45" i="28"/>
  <c r="J45" i="28"/>
  <c r="K45" i="28"/>
  <c r="L45" i="28"/>
  <c r="M45" i="28"/>
  <c r="E64" i="28"/>
  <c r="F64" i="28"/>
  <c r="G64" i="28"/>
  <c r="H64" i="28"/>
  <c r="I64" i="28"/>
  <c r="J64" i="28"/>
  <c r="E71" i="28"/>
  <c r="F71" i="28"/>
  <c r="F76" i="28" s="1"/>
  <c r="D92" i="19" s="1"/>
  <c r="G71" i="28"/>
  <c r="H71" i="28"/>
  <c r="I71" i="28"/>
  <c r="J71" i="28"/>
  <c r="J76" i="28" s="1"/>
  <c r="K71" i="28"/>
  <c r="L71" i="28"/>
  <c r="M71" i="28"/>
  <c r="E75" i="28"/>
  <c r="E76" i="28" s="1"/>
  <c r="F75" i="28"/>
  <c r="G75" i="28"/>
  <c r="G76" i="28" s="1"/>
  <c r="H75" i="28"/>
  <c r="I75" i="28"/>
  <c r="I76" i="28" s="1"/>
  <c r="J75" i="28"/>
  <c r="K75" i="28"/>
  <c r="K76" i="28" s="1"/>
  <c r="L75" i="28"/>
  <c r="M75" i="28"/>
  <c r="M76" i="28" s="1"/>
  <c r="H76" i="28"/>
  <c r="L76" i="28"/>
  <c r="E83" i="28"/>
  <c r="F83" i="28"/>
  <c r="G83" i="28"/>
  <c r="H83" i="28"/>
  <c r="I83" i="28"/>
  <c r="J83" i="28"/>
  <c r="K83" i="28"/>
  <c r="L83" i="28"/>
  <c r="M83" i="28"/>
  <c r="E87" i="28"/>
  <c r="E88" i="28" s="1"/>
  <c r="F87" i="28"/>
  <c r="G87" i="28"/>
  <c r="G88" i="28" s="1"/>
  <c r="H87" i="28"/>
  <c r="I87" i="28"/>
  <c r="I88" i="28" s="1"/>
  <c r="J87" i="28"/>
  <c r="K87" i="28"/>
  <c r="K88" i="28" s="1"/>
  <c r="L87" i="28"/>
  <c r="M87" i="28"/>
  <c r="M88" i="28" s="1"/>
  <c r="F88" i="28"/>
  <c r="H88" i="28"/>
  <c r="J88" i="28"/>
  <c r="L88" i="28"/>
  <c r="E92" i="28"/>
  <c r="F92" i="28"/>
  <c r="G92" i="28"/>
  <c r="H92" i="28"/>
  <c r="I92" i="28"/>
  <c r="J92" i="28"/>
  <c r="K92" i="28"/>
  <c r="K97" i="28" s="1"/>
  <c r="L92" i="28"/>
  <c r="M92" i="28"/>
  <c r="E96" i="28"/>
  <c r="F96" i="28"/>
  <c r="F97" i="28" s="1"/>
  <c r="G96" i="28"/>
  <c r="H96" i="28"/>
  <c r="H97" i="28" s="1"/>
  <c r="I96" i="28"/>
  <c r="J96" i="28"/>
  <c r="J97" i="28" s="1"/>
  <c r="K96" i="28"/>
  <c r="L96" i="28"/>
  <c r="M96" i="28"/>
  <c r="E97" i="28"/>
  <c r="G97" i="28"/>
  <c r="I97" i="28"/>
  <c r="L97" i="28"/>
  <c r="M97" i="28"/>
  <c r="E100" i="28"/>
  <c r="F100" i="28"/>
  <c r="F107" i="28" s="1"/>
  <c r="G100" i="28"/>
  <c r="H100" i="28"/>
  <c r="I100" i="28"/>
  <c r="J100" i="28"/>
  <c r="J107" i="28" s="1"/>
  <c r="K100" i="28"/>
  <c r="L100" i="28"/>
  <c r="M100" i="28"/>
  <c r="E106" i="28"/>
  <c r="E107" i="28" s="1"/>
  <c r="F106" i="28"/>
  <c r="G106" i="28"/>
  <c r="G107" i="28" s="1"/>
  <c r="H106" i="28"/>
  <c r="I106" i="28"/>
  <c r="I107" i="28" s="1"/>
  <c r="J106" i="28"/>
  <c r="K106" i="28"/>
  <c r="L106" i="28"/>
  <c r="M106" i="28"/>
  <c r="H107" i="28"/>
  <c r="L107" i="28"/>
  <c r="E110" i="28"/>
  <c r="F110" i="28"/>
  <c r="G110" i="28"/>
  <c r="H110" i="28"/>
  <c r="I110" i="28"/>
  <c r="J110" i="28"/>
  <c r="E117" i="28"/>
  <c r="F117" i="28"/>
  <c r="G117" i="28"/>
  <c r="H117" i="28"/>
  <c r="I117" i="28"/>
  <c r="J117" i="28"/>
  <c r="K117" i="28"/>
  <c r="L117" i="28"/>
  <c r="M117" i="28"/>
  <c r="E121" i="28"/>
  <c r="F121" i="28"/>
  <c r="F122" i="28" s="1"/>
  <c r="G121" i="28"/>
  <c r="H121" i="28"/>
  <c r="H122" i="28" s="1"/>
  <c r="I121" i="28"/>
  <c r="J121" i="28"/>
  <c r="J122" i="28" s="1"/>
  <c r="K121" i="28"/>
  <c r="L121" i="28"/>
  <c r="L122" i="28" s="1"/>
  <c r="M121" i="28"/>
  <c r="E122" i="28"/>
  <c r="G122" i="28"/>
  <c r="I122" i="28"/>
  <c r="K122" i="28"/>
  <c r="M122" i="28"/>
  <c r="E129" i="28"/>
  <c r="F129" i="28"/>
  <c r="G129" i="28"/>
  <c r="H129" i="28"/>
  <c r="I129" i="28"/>
  <c r="J129" i="28"/>
  <c r="K129" i="28"/>
  <c r="L129" i="28"/>
  <c r="M129" i="28"/>
  <c r="E133" i="28"/>
  <c r="E134" i="28" s="1"/>
  <c r="F133" i="28"/>
  <c r="G133" i="28"/>
  <c r="G134" i="28" s="1"/>
  <c r="H133" i="28"/>
  <c r="I133" i="28"/>
  <c r="I134" i="28" s="1"/>
  <c r="J133" i="28"/>
  <c r="K133" i="28"/>
  <c r="K134" i="28" s="1"/>
  <c r="L133" i="28"/>
  <c r="M133" i="28"/>
  <c r="M134" i="28" s="1"/>
  <c r="F134" i="28"/>
  <c r="H134" i="28"/>
  <c r="J134" i="28"/>
  <c r="L134" i="28"/>
  <c r="E138" i="28"/>
  <c r="F138" i="28"/>
  <c r="G138" i="28"/>
  <c r="G143" i="28" s="1"/>
  <c r="H138" i="28"/>
  <c r="I138" i="28"/>
  <c r="J138" i="28"/>
  <c r="K138" i="28"/>
  <c r="K143" i="28" s="1"/>
  <c r="L138" i="28"/>
  <c r="M138" i="28"/>
  <c r="E142" i="28"/>
  <c r="F142" i="28"/>
  <c r="F143" i="28" s="1"/>
  <c r="G142" i="28"/>
  <c r="H142" i="28"/>
  <c r="H143" i="28" s="1"/>
  <c r="I142" i="28"/>
  <c r="J142" i="28"/>
  <c r="J143" i="28" s="1"/>
  <c r="K142" i="28"/>
  <c r="L142" i="28"/>
  <c r="L143" i="28" s="1"/>
  <c r="M142" i="28"/>
  <c r="E143" i="28"/>
  <c r="I143" i="28"/>
  <c r="M143" i="28"/>
  <c r="E146" i="28"/>
  <c r="F146" i="28"/>
  <c r="F153" i="28" s="1"/>
  <c r="G146" i="28"/>
  <c r="H146" i="28"/>
  <c r="I146" i="28"/>
  <c r="J146" i="28"/>
  <c r="J153" i="28" s="1"/>
  <c r="K146" i="28"/>
  <c r="L146" i="28"/>
  <c r="M146" i="28"/>
  <c r="E152" i="28"/>
  <c r="E153" i="28" s="1"/>
  <c r="F152" i="28"/>
  <c r="G152" i="28"/>
  <c r="G153" i="28" s="1"/>
  <c r="H152" i="28"/>
  <c r="I152" i="28"/>
  <c r="I153" i="28" s="1"/>
  <c r="J152" i="28"/>
  <c r="K152" i="28"/>
  <c r="K153" i="28" s="1"/>
  <c r="L152" i="28"/>
  <c r="M152" i="28"/>
  <c r="M153" i="28" s="1"/>
  <c r="H153" i="28"/>
  <c r="L153" i="28"/>
  <c r="E156" i="28"/>
  <c r="F156" i="28"/>
  <c r="G156" i="28"/>
  <c r="H156" i="28"/>
  <c r="I156" i="28"/>
  <c r="J156" i="28"/>
  <c r="E163" i="28"/>
  <c r="F163" i="28"/>
  <c r="G163" i="28"/>
  <c r="H163" i="28"/>
  <c r="I163" i="28"/>
  <c r="J163" i="28"/>
  <c r="K163" i="28"/>
  <c r="L163" i="28"/>
  <c r="M163" i="28"/>
  <c r="E167" i="28"/>
  <c r="F167" i="28"/>
  <c r="F168" i="28" s="1"/>
  <c r="G167" i="28"/>
  <c r="H167" i="28"/>
  <c r="H168" i="28" s="1"/>
  <c r="I167" i="28"/>
  <c r="J167" i="28"/>
  <c r="J168" i="28" s="1"/>
  <c r="K167" i="28"/>
  <c r="L167" i="28"/>
  <c r="L168" i="28" s="1"/>
  <c r="M167" i="28"/>
  <c r="E168" i="28"/>
  <c r="G168" i="28"/>
  <c r="I168" i="28"/>
  <c r="K168" i="28"/>
  <c r="M168" i="28"/>
  <c r="E175" i="28"/>
  <c r="F175" i="28"/>
  <c r="G175" i="28"/>
  <c r="H175" i="28"/>
  <c r="I175" i="28"/>
  <c r="J175" i="28"/>
  <c r="K175" i="28"/>
  <c r="L175" i="28"/>
  <c r="M175" i="28"/>
  <c r="E179" i="28"/>
  <c r="E180" i="28" s="1"/>
  <c r="F179" i="28"/>
  <c r="G179" i="28"/>
  <c r="G180" i="28" s="1"/>
  <c r="H179" i="28"/>
  <c r="I179" i="28"/>
  <c r="I180" i="28" s="1"/>
  <c r="J179" i="28"/>
  <c r="K179" i="28"/>
  <c r="K180" i="28" s="1"/>
  <c r="L179" i="28"/>
  <c r="M179" i="28"/>
  <c r="M180" i="28" s="1"/>
  <c r="F180" i="28"/>
  <c r="H180" i="28"/>
  <c r="J180" i="28"/>
  <c r="L180" i="28"/>
  <c r="E184" i="28"/>
  <c r="F184" i="28"/>
  <c r="G184" i="28"/>
  <c r="G189" i="28" s="1"/>
  <c r="H184" i="28"/>
  <c r="I184" i="28"/>
  <c r="J184" i="28"/>
  <c r="K184" i="28"/>
  <c r="K189" i="28" s="1"/>
  <c r="L184" i="28"/>
  <c r="M184" i="28"/>
  <c r="E188" i="28"/>
  <c r="F188" i="28"/>
  <c r="F189" i="28" s="1"/>
  <c r="G188" i="28"/>
  <c r="H188" i="28"/>
  <c r="H189" i="28" s="1"/>
  <c r="I188" i="28"/>
  <c r="J188" i="28"/>
  <c r="J189" i="28" s="1"/>
  <c r="K188" i="28"/>
  <c r="L188" i="28"/>
  <c r="L189" i="28" s="1"/>
  <c r="M188" i="28"/>
  <c r="E189" i="28"/>
  <c r="I189" i="28"/>
  <c r="M189" i="28"/>
  <c r="E192" i="28"/>
  <c r="F192" i="28"/>
  <c r="F199" i="28" s="1"/>
  <c r="G192" i="28"/>
  <c r="H192" i="28"/>
  <c r="I192" i="28"/>
  <c r="J192" i="28"/>
  <c r="J199" i="28" s="1"/>
  <c r="K192" i="28"/>
  <c r="L192" i="28"/>
  <c r="M192" i="28"/>
  <c r="E198" i="28"/>
  <c r="E199" i="28" s="1"/>
  <c r="F198" i="28"/>
  <c r="G198" i="28"/>
  <c r="G199" i="28" s="1"/>
  <c r="H198" i="28"/>
  <c r="I198" i="28"/>
  <c r="I199" i="28" s="1"/>
  <c r="J198" i="28"/>
  <c r="K198" i="28"/>
  <c r="K199" i="28" s="1"/>
  <c r="L198" i="28"/>
  <c r="M198" i="28"/>
  <c r="M199" i="28" s="1"/>
  <c r="H199" i="28"/>
  <c r="L199" i="28"/>
  <c r="E202" i="28"/>
  <c r="F202" i="28"/>
  <c r="G202" i="28"/>
  <c r="H202" i="28"/>
  <c r="I202" i="28"/>
  <c r="J202" i="28"/>
  <c r="E209" i="28"/>
  <c r="F209" i="28"/>
  <c r="G209" i="28"/>
  <c r="H209" i="28"/>
  <c r="I209" i="28"/>
  <c r="J209" i="28"/>
  <c r="K209" i="28"/>
  <c r="L209" i="28"/>
  <c r="M209" i="28"/>
  <c r="E213" i="28"/>
  <c r="F213" i="28"/>
  <c r="F214" i="28" s="1"/>
  <c r="G213" i="28"/>
  <c r="H213" i="28"/>
  <c r="H214" i="28" s="1"/>
  <c r="I213" i="28"/>
  <c r="J213" i="28"/>
  <c r="J214" i="28" s="1"/>
  <c r="K213" i="28"/>
  <c r="L213" i="28"/>
  <c r="L214" i="28" s="1"/>
  <c r="M213" i="28"/>
  <c r="E214" i="28"/>
  <c r="G214" i="28"/>
  <c r="I214" i="28"/>
  <c r="K214" i="28"/>
  <c r="M214" i="28"/>
  <c r="E221" i="28"/>
  <c r="F221" i="28"/>
  <c r="G221" i="28"/>
  <c r="H221" i="28"/>
  <c r="I221" i="28"/>
  <c r="J221" i="28"/>
  <c r="K221" i="28"/>
  <c r="L221" i="28"/>
  <c r="M221" i="28"/>
  <c r="E225" i="28"/>
  <c r="E226" i="28" s="1"/>
  <c r="F225" i="28"/>
  <c r="G225" i="28"/>
  <c r="G226" i="28" s="1"/>
  <c r="H225" i="28"/>
  <c r="I225" i="28"/>
  <c r="I226" i="28" s="1"/>
  <c r="J225" i="28"/>
  <c r="K225" i="28"/>
  <c r="K226" i="28" s="1"/>
  <c r="L225" i="28"/>
  <c r="M225" i="28"/>
  <c r="M226" i="28" s="1"/>
  <c r="F226" i="28"/>
  <c r="H226" i="28"/>
  <c r="J226" i="28"/>
  <c r="L226" i="28"/>
  <c r="E230" i="28"/>
  <c r="F230" i="28"/>
  <c r="G230" i="28"/>
  <c r="G235" i="28" s="1"/>
  <c r="H230" i="28"/>
  <c r="I230" i="28"/>
  <c r="J230" i="28"/>
  <c r="K230" i="28"/>
  <c r="K235" i="28" s="1"/>
  <c r="L230" i="28"/>
  <c r="M230" i="28"/>
  <c r="E234" i="28"/>
  <c r="F234" i="28"/>
  <c r="F235" i="28" s="1"/>
  <c r="G234" i="28"/>
  <c r="H234" i="28"/>
  <c r="H235" i="28" s="1"/>
  <c r="I234" i="28"/>
  <c r="J234" i="28"/>
  <c r="J235" i="28" s="1"/>
  <c r="K234" i="28"/>
  <c r="L234" i="28"/>
  <c r="L235" i="28" s="1"/>
  <c r="M234" i="28"/>
  <c r="E235" i="28"/>
  <c r="I235" i="28"/>
  <c r="M235" i="28"/>
  <c r="E238" i="28"/>
  <c r="F238" i="28"/>
  <c r="F245" i="28" s="1"/>
  <c r="G238" i="28"/>
  <c r="H238" i="28"/>
  <c r="I238" i="28"/>
  <c r="J238" i="28"/>
  <c r="J245" i="28" s="1"/>
  <c r="K238" i="28"/>
  <c r="L238" i="28"/>
  <c r="M238" i="28"/>
  <c r="E244" i="28"/>
  <c r="E245" i="28" s="1"/>
  <c r="F244" i="28"/>
  <c r="G244" i="28"/>
  <c r="G245" i="28" s="1"/>
  <c r="H244" i="28"/>
  <c r="I244" i="28"/>
  <c r="I245" i="28" s="1"/>
  <c r="J244" i="28"/>
  <c r="K244" i="28"/>
  <c r="K245" i="28" s="1"/>
  <c r="L244" i="28"/>
  <c r="M244" i="28"/>
  <c r="M245" i="28" s="1"/>
  <c r="H245" i="28"/>
  <c r="L245" i="28"/>
  <c r="A248" i="28"/>
  <c r="C3" i="27"/>
  <c r="D3" i="27"/>
  <c r="E3" i="27"/>
  <c r="F3" i="27"/>
  <c r="G3" i="27"/>
  <c r="H3" i="27"/>
  <c r="I3" i="27"/>
  <c r="A40" i="27"/>
  <c r="D47" i="27"/>
  <c r="E47" i="27"/>
  <c r="F47" i="27"/>
  <c r="G47" i="27"/>
  <c r="H47" i="27"/>
  <c r="I47" i="27"/>
  <c r="J47" i="27"/>
  <c r="K47" i="27"/>
  <c r="L47" i="27"/>
  <c r="C49" i="27"/>
  <c r="D49" i="27"/>
  <c r="E49" i="27"/>
  <c r="F49" i="27"/>
  <c r="G49" i="27"/>
  <c r="H49" i="27"/>
  <c r="I49" i="27"/>
  <c r="C3" i="26"/>
  <c r="D3" i="26"/>
  <c r="E3" i="26"/>
  <c r="F3" i="26"/>
  <c r="G3" i="26"/>
  <c r="H3" i="26"/>
  <c r="A73" i="26"/>
  <c r="C74" i="26"/>
  <c r="D74" i="26"/>
  <c r="E74" i="26"/>
  <c r="F74" i="26"/>
  <c r="G74" i="26"/>
  <c r="H74" i="26"/>
  <c r="A80" i="26"/>
  <c r="A84" i="26"/>
  <c r="D2" i="25"/>
  <c r="E3" i="25"/>
  <c r="F3" i="25"/>
  <c r="G3" i="25"/>
  <c r="H3" i="25"/>
  <c r="I3" i="25"/>
  <c r="J3" i="25"/>
  <c r="E21" i="25"/>
  <c r="F21" i="25"/>
  <c r="G21" i="25"/>
  <c r="H21" i="25"/>
  <c r="I21" i="25"/>
  <c r="J21" i="25"/>
  <c r="K21" i="25"/>
  <c r="L21" i="25"/>
  <c r="M21" i="25"/>
  <c r="A22" i="25"/>
  <c r="D2" i="24"/>
  <c r="E3" i="24"/>
  <c r="F3" i="24"/>
  <c r="G3" i="24"/>
  <c r="H3" i="24"/>
  <c r="I3" i="24"/>
  <c r="J3" i="24"/>
  <c r="A23" i="24"/>
  <c r="E23" i="24"/>
  <c r="F23" i="24"/>
  <c r="G23" i="24"/>
  <c r="H23" i="24"/>
  <c r="I23" i="24"/>
  <c r="J23" i="24"/>
  <c r="K23" i="24"/>
  <c r="L23" i="24"/>
  <c r="M23" i="24"/>
  <c r="A24" i="24"/>
  <c r="D2" i="23"/>
  <c r="E3" i="23"/>
  <c r="F3" i="23"/>
  <c r="G3" i="23"/>
  <c r="H3" i="23"/>
  <c r="I3" i="23"/>
  <c r="J3" i="23"/>
  <c r="A22" i="23"/>
  <c r="E22" i="23"/>
  <c r="F22" i="23"/>
  <c r="G22" i="23"/>
  <c r="H22" i="23"/>
  <c r="I22" i="23"/>
  <c r="J22" i="23"/>
  <c r="A23" i="23"/>
  <c r="A2" i="22"/>
  <c r="B2" i="22"/>
  <c r="C3" i="22"/>
  <c r="D3" i="22"/>
  <c r="E3" i="22"/>
  <c r="F3" i="22"/>
  <c r="G3" i="22"/>
  <c r="H3" i="22"/>
  <c r="I3" i="22"/>
  <c r="A6" i="22"/>
  <c r="A9" i="22" s="1"/>
  <c r="C9" i="22"/>
  <c r="D9" i="22"/>
  <c r="E9" i="22"/>
  <c r="F9" i="22"/>
  <c r="G9" i="22"/>
  <c r="H9" i="22"/>
  <c r="I9" i="22"/>
  <c r="J9" i="22"/>
  <c r="J7" i="15" s="1"/>
  <c r="A11" i="22"/>
  <c r="A12" i="22"/>
  <c r="L14" i="22"/>
  <c r="L8" i="15" s="1"/>
  <c r="L35" i="17" s="1"/>
  <c r="A14" i="22"/>
  <c r="C14" i="22"/>
  <c r="D14" i="22"/>
  <c r="E14" i="22"/>
  <c r="F14" i="22"/>
  <c r="G14" i="22"/>
  <c r="H14" i="22"/>
  <c r="I14" i="22"/>
  <c r="J14" i="22"/>
  <c r="J8" i="15" s="1"/>
  <c r="K14" i="22"/>
  <c r="K8" i="15" s="1"/>
  <c r="C20" i="22"/>
  <c r="D20" i="22"/>
  <c r="E20" i="22"/>
  <c r="F20" i="22"/>
  <c r="G20" i="22"/>
  <c r="H20" i="22"/>
  <c r="I20" i="22"/>
  <c r="J20" i="22"/>
  <c r="K20" i="22"/>
  <c r="L20" i="22"/>
  <c r="A22" i="22"/>
  <c r="A26" i="22"/>
  <c r="C26" i="22"/>
  <c r="D26" i="22"/>
  <c r="E26" i="22"/>
  <c r="F26" i="22"/>
  <c r="G26" i="22"/>
  <c r="H26" i="22"/>
  <c r="I26" i="22"/>
  <c r="J26" i="22"/>
  <c r="J19" i="15" s="1"/>
  <c r="J24" i="15" s="1"/>
  <c r="I36" i="7" s="1"/>
  <c r="L26" i="22"/>
  <c r="L19" i="15" s="1"/>
  <c r="A29" i="22"/>
  <c r="A32" i="22" s="1"/>
  <c r="C32" i="22"/>
  <c r="D32" i="22"/>
  <c r="E32" i="22"/>
  <c r="F32" i="22"/>
  <c r="G32" i="22"/>
  <c r="H32" i="22"/>
  <c r="I32" i="22"/>
  <c r="J32" i="22"/>
  <c r="K32" i="22"/>
  <c r="L32" i="22"/>
  <c r="A34" i="22"/>
  <c r="A38" i="22" s="1"/>
  <c r="K36" i="22"/>
  <c r="L36" i="22"/>
  <c r="C38" i="22"/>
  <c r="D38" i="22"/>
  <c r="E38" i="22"/>
  <c r="F38" i="22"/>
  <c r="G38" i="22"/>
  <c r="H38" i="22"/>
  <c r="I38" i="22"/>
  <c r="J38" i="22"/>
  <c r="J32" i="15" s="1"/>
  <c r="A40" i="22"/>
  <c r="A43" i="22" s="1"/>
  <c r="C43" i="22"/>
  <c r="D43" i="22"/>
  <c r="E43" i="22"/>
  <c r="F43" i="22"/>
  <c r="G43" i="22"/>
  <c r="H43" i="22"/>
  <c r="I43" i="22"/>
  <c r="J43" i="22"/>
  <c r="K43" i="22"/>
  <c r="L43" i="22"/>
  <c r="A45" i="22"/>
  <c r="A50" i="22"/>
  <c r="C50" i="22"/>
  <c r="D50" i="22"/>
  <c r="E50" i="22"/>
  <c r="F50" i="22"/>
  <c r="G50" i="22"/>
  <c r="H50" i="22"/>
  <c r="I50" i="22"/>
  <c r="J50" i="22"/>
  <c r="K50" i="22"/>
  <c r="L50" i="22"/>
  <c r="L38" i="15" s="1"/>
  <c r="L39" i="15" s="1"/>
  <c r="K38" i="7" s="1"/>
  <c r="A53" i="22"/>
  <c r="A54" i="22"/>
  <c r="C56" i="22"/>
  <c r="D56" i="22"/>
  <c r="E56" i="22"/>
  <c r="F56" i="22"/>
  <c r="G56" i="22"/>
  <c r="H56" i="22"/>
  <c r="I56" i="22"/>
  <c r="J56" i="22"/>
  <c r="K56" i="22"/>
  <c r="L56" i="22"/>
  <c r="A57" i="22"/>
  <c r="C69" i="22"/>
  <c r="D69" i="22"/>
  <c r="E69" i="22"/>
  <c r="F69" i="22"/>
  <c r="G69" i="22"/>
  <c r="H69" i="22"/>
  <c r="I69" i="22"/>
  <c r="J69" i="22"/>
  <c r="K69" i="22"/>
  <c r="L69" i="22"/>
  <c r="A70" i="22"/>
  <c r="A76" i="22"/>
  <c r="E82" i="22"/>
  <c r="D82" i="22" s="1"/>
  <c r="C82" i="22" s="1"/>
  <c r="F82" i="22"/>
  <c r="G82" i="22"/>
  <c r="H82" i="22"/>
  <c r="I82" i="22"/>
  <c r="A2" i="21"/>
  <c r="B2" i="21"/>
  <c r="A4" i="21"/>
  <c r="A5" i="21"/>
  <c r="A6" i="21"/>
  <c r="R6" i="21"/>
  <c r="A7" i="21"/>
  <c r="R7" i="21"/>
  <c r="A8" i="21"/>
  <c r="A9" i="21"/>
  <c r="R9" i="21"/>
  <c r="A10" i="21"/>
  <c r="A11" i="21"/>
  <c r="R11" i="21"/>
  <c r="A12" i="21"/>
  <c r="A13" i="21"/>
  <c r="A14" i="21"/>
  <c r="R14" i="21"/>
  <c r="A15" i="21"/>
  <c r="R15" i="21"/>
  <c r="A16" i="21"/>
  <c r="A17" i="21"/>
  <c r="A18" i="21"/>
  <c r="A19" i="21"/>
  <c r="A20" i="21"/>
  <c r="A21" i="21"/>
  <c r="R21" i="21"/>
  <c r="A22" i="21"/>
  <c r="C22" i="21"/>
  <c r="D22" i="21"/>
  <c r="E22" i="21"/>
  <c r="H22" i="21"/>
  <c r="J22" i="21"/>
  <c r="L22" i="21"/>
  <c r="N22" i="21"/>
  <c r="A24" i="21"/>
  <c r="A25" i="21"/>
  <c r="A26" i="21"/>
  <c r="A27" i="21"/>
  <c r="A28" i="21"/>
  <c r="A29" i="21"/>
  <c r="R29" i="21"/>
  <c r="A30" i="21"/>
  <c r="A31" i="21"/>
  <c r="A32" i="21"/>
  <c r="A33" i="21"/>
  <c r="A34" i="21"/>
  <c r="A35" i="21"/>
  <c r="R35" i="21"/>
  <c r="F36" i="21"/>
  <c r="G36" i="21"/>
  <c r="H36" i="21"/>
  <c r="I36" i="21"/>
  <c r="Q36" i="21"/>
  <c r="A38" i="21"/>
  <c r="H38" i="21"/>
  <c r="H42" i="21" s="1"/>
  <c r="A39" i="21"/>
  <c r="A40" i="21"/>
  <c r="R40" i="21"/>
  <c r="A41" i="21"/>
  <c r="R41" i="21"/>
  <c r="A42" i="21"/>
  <c r="A43" i="21"/>
  <c r="A2" i="20"/>
  <c r="B2" i="20"/>
  <c r="C3" i="20"/>
  <c r="D3" i="20"/>
  <c r="E3" i="20"/>
  <c r="F3" i="20"/>
  <c r="G3" i="20"/>
  <c r="H3" i="20"/>
  <c r="I3" i="20"/>
  <c r="A6" i="20"/>
  <c r="C9" i="20"/>
  <c r="C5" i="12" s="1"/>
  <c r="B5" i="7" s="1"/>
  <c r="D9" i="20"/>
  <c r="D5" i="12" s="1"/>
  <c r="C5" i="7" s="1"/>
  <c r="E9" i="20"/>
  <c r="E5" i="12" s="1"/>
  <c r="D5" i="7" s="1"/>
  <c r="F9" i="20"/>
  <c r="F5" i="12" s="1"/>
  <c r="E5" i="7" s="1"/>
  <c r="G9" i="20"/>
  <c r="H9" i="20"/>
  <c r="H5" i="12" s="1"/>
  <c r="G5" i="7" s="1"/>
  <c r="I9" i="20"/>
  <c r="I5" i="12" s="1"/>
  <c r="A11" i="20"/>
  <c r="A12" i="20" s="1"/>
  <c r="A13" i="20"/>
  <c r="C14" i="20"/>
  <c r="C7" i="12" s="1"/>
  <c r="D46" i="29" s="1"/>
  <c r="D14" i="20"/>
  <c r="D7" i="12" s="1"/>
  <c r="E14" i="20"/>
  <c r="E7" i="12" s="1"/>
  <c r="F14" i="20"/>
  <c r="F7" i="12" s="1"/>
  <c r="G14" i="20"/>
  <c r="G7" i="12" s="1"/>
  <c r="H14" i="20"/>
  <c r="I14" i="20"/>
  <c r="I7" i="12" s="1"/>
  <c r="J14" i="20"/>
  <c r="J7" i="12" s="1"/>
  <c r="K14" i="20"/>
  <c r="K7" i="12" s="1"/>
  <c r="L14" i="20"/>
  <c r="L7" i="12" s="1"/>
  <c r="A16" i="20"/>
  <c r="A17" i="20" s="1"/>
  <c r="A18" i="20"/>
  <c r="C19" i="20"/>
  <c r="C8" i="12" s="1"/>
  <c r="D47" i="29" s="1"/>
  <c r="D19" i="20"/>
  <c r="D8" i="12" s="1"/>
  <c r="E47" i="29" s="1"/>
  <c r="E19" i="20"/>
  <c r="E8" i="12" s="1"/>
  <c r="F47" i="29" s="1"/>
  <c r="F19" i="20"/>
  <c r="G19" i="20"/>
  <c r="G8" i="12" s="1"/>
  <c r="H47" i="29" s="1"/>
  <c r="H19" i="20"/>
  <c r="H8" i="12" s="1"/>
  <c r="I47" i="29" s="1"/>
  <c r="I19" i="20"/>
  <c r="I8" i="12" s="1"/>
  <c r="J47" i="29" s="1"/>
  <c r="A21" i="20"/>
  <c r="A22" i="20" s="1"/>
  <c r="A23" i="20"/>
  <c r="C24" i="20"/>
  <c r="C9" i="12" s="1"/>
  <c r="D48" i="29" s="1"/>
  <c r="D24" i="20"/>
  <c r="D9" i="12" s="1"/>
  <c r="E48" i="29" s="1"/>
  <c r="E24" i="20"/>
  <c r="E9" i="12" s="1"/>
  <c r="F48" i="29" s="1"/>
  <c r="F24" i="20"/>
  <c r="F9" i="12" s="1"/>
  <c r="G48" i="29" s="1"/>
  <c r="G24" i="20"/>
  <c r="H24" i="20"/>
  <c r="H9" i="12" s="1"/>
  <c r="I48" i="29" s="1"/>
  <c r="I24" i="20"/>
  <c r="I9" i="12" s="1"/>
  <c r="J48" i="29" s="1"/>
  <c r="A26" i="20"/>
  <c r="A29" i="20"/>
  <c r="A30" i="20"/>
  <c r="C30" i="20"/>
  <c r="C10" i="12" s="1"/>
  <c r="D49" i="29" s="1"/>
  <c r="D30" i="20"/>
  <c r="D10" i="12" s="1"/>
  <c r="E49" i="29" s="1"/>
  <c r="E30" i="20"/>
  <c r="E10" i="12" s="1"/>
  <c r="F49" i="29" s="1"/>
  <c r="F30" i="20"/>
  <c r="F10" i="12" s="1"/>
  <c r="G30" i="20"/>
  <c r="H30" i="20"/>
  <c r="H10" i="12" s="1"/>
  <c r="I49" i="29" s="1"/>
  <c r="I30" i="20"/>
  <c r="I10" i="12" s="1"/>
  <c r="J49" i="29" s="1"/>
  <c r="J30" i="20"/>
  <c r="J10" i="12" s="1"/>
  <c r="K49" i="29" s="1"/>
  <c r="C45" i="20"/>
  <c r="C20" i="12" s="1"/>
  <c r="B9" i="7" s="1"/>
  <c r="D45" i="20"/>
  <c r="D20" i="12" s="1"/>
  <c r="C9" i="7" s="1"/>
  <c r="E45" i="20"/>
  <c r="F45" i="20"/>
  <c r="F20" i="12" s="1"/>
  <c r="E9" i="7" s="1"/>
  <c r="G45" i="20"/>
  <c r="G20" i="12" s="1"/>
  <c r="F9" i="7" s="1"/>
  <c r="H45" i="20"/>
  <c r="H20" i="12" s="1"/>
  <c r="G9" i="7" s="1"/>
  <c r="I45" i="20"/>
  <c r="J45" i="20"/>
  <c r="J20" i="12" s="1"/>
  <c r="O20" i="46" s="1"/>
  <c r="N20" i="46" s="1"/>
  <c r="A48" i="20"/>
  <c r="A63" i="20" s="1"/>
  <c r="E49" i="20"/>
  <c r="I49" i="20"/>
  <c r="K49" i="20"/>
  <c r="L49" i="20" s="1"/>
  <c r="E51" i="20"/>
  <c r="E54" i="20"/>
  <c r="I55" i="20"/>
  <c r="K55" i="20"/>
  <c r="L55" i="20" s="1"/>
  <c r="E57" i="20"/>
  <c r="C61" i="20"/>
  <c r="C63" i="20" s="1"/>
  <c r="D61" i="20"/>
  <c r="F61" i="20"/>
  <c r="F63" i="20" s="1"/>
  <c r="G61" i="20"/>
  <c r="G63" i="20" s="1"/>
  <c r="H61" i="20"/>
  <c r="H63" i="20" s="1"/>
  <c r="I61" i="20"/>
  <c r="I63" i="20" s="1"/>
  <c r="J35" i="62" s="1"/>
  <c r="J61" i="20"/>
  <c r="J63" i="20" s="1"/>
  <c r="D63" i="20"/>
  <c r="E35" i="62" s="1"/>
  <c r="A72" i="20"/>
  <c r="C72" i="20"/>
  <c r="D72" i="20"/>
  <c r="D40" i="12" s="1"/>
  <c r="C21" i="7" s="1"/>
  <c r="E72" i="20"/>
  <c r="F72" i="20"/>
  <c r="F40" i="12" s="1"/>
  <c r="E21" i="7" s="1"/>
  <c r="G72" i="20"/>
  <c r="H72" i="20"/>
  <c r="H40" i="12" s="1"/>
  <c r="G21" i="7" s="1"/>
  <c r="I72" i="20"/>
  <c r="J72" i="20"/>
  <c r="J40" i="12" s="1"/>
  <c r="O40" i="46" s="1"/>
  <c r="N40" i="46" s="1"/>
  <c r="K72" i="20"/>
  <c r="L72" i="20"/>
  <c r="L40" i="12" s="1"/>
  <c r="Q40" i="46" s="1"/>
  <c r="A74" i="20"/>
  <c r="A79" i="20" s="1"/>
  <c r="C79" i="20"/>
  <c r="C28" i="12" s="1"/>
  <c r="B13" i="7" s="1"/>
  <c r="D79" i="20"/>
  <c r="D28" i="12" s="1"/>
  <c r="C13" i="7" s="1"/>
  <c r="E79" i="20"/>
  <c r="E28" i="12" s="1"/>
  <c r="D13" i="7" s="1"/>
  <c r="F79" i="20"/>
  <c r="F28" i="12" s="1"/>
  <c r="E13" i="7" s="1"/>
  <c r="G79" i="20"/>
  <c r="G28" i="12" s="1"/>
  <c r="F13" i="7" s="1"/>
  <c r="H79" i="20"/>
  <c r="H28" i="12" s="1"/>
  <c r="G13" i="7" s="1"/>
  <c r="I79" i="20"/>
  <c r="I28" i="12" s="1"/>
  <c r="H13" i="7" s="1"/>
  <c r="A81" i="20"/>
  <c r="C84" i="20"/>
  <c r="C30" i="12" s="1"/>
  <c r="D84" i="20"/>
  <c r="D30" i="12" s="1"/>
  <c r="E38" i="62" s="1"/>
  <c r="E84" i="20"/>
  <c r="E30" i="12" s="1"/>
  <c r="F84" i="20"/>
  <c r="F30" i="12" s="1"/>
  <c r="G38" i="62" s="1"/>
  <c r="G84" i="20"/>
  <c r="G30" i="12" s="1"/>
  <c r="H84" i="20"/>
  <c r="H30" i="12" s="1"/>
  <c r="I38" i="62" s="1"/>
  <c r="I84" i="20"/>
  <c r="I30" i="12" s="1"/>
  <c r="F87" i="20"/>
  <c r="F88" i="20"/>
  <c r="A91" i="20"/>
  <c r="C117" i="20"/>
  <c r="C123" i="20" s="1"/>
  <c r="C32" i="12" s="1"/>
  <c r="D40" i="62" s="1"/>
  <c r="D117" i="20"/>
  <c r="D123" i="20" s="1"/>
  <c r="D32" i="12" s="1"/>
  <c r="E40" i="62" s="1"/>
  <c r="E117" i="20"/>
  <c r="E123" i="20" s="1"/>
  <c r="E32" i="12" s="1"/>
  <c r="F40" i="62" s="1"/>
  <c r="F117" i="20"/>
  <c r="F123" i="20" s="1"/>
  <c r="F32" i="12" s="1"/>
  <c r="G40" i="62" s="1"/>
  <c r="G117" i="20"/>
  <c r="G123" i="20" s="1"/>
  <c r="G32" i="12" s="1"/>
  <c r="H117" i="20"/>
  <c r="H123" i="20" s="1"/>
  <c r="H32" i="12" s="1"/>
  <c r="I40" i="62" s="1"/>
  <c r="I117" i="20"/>
  <c r="I123" i="20" s="1"/>
  <c r="I32" i="12" s="1"/>
  <c r="J40" i="62" s="1"/>
  <c r="I130" i="20"/>
  <c r="I153" i="20" s="1"/>
  <c r="I34" i="12" s="1"/>
  <c r="C153" i="20"/>
  <c r="C34" i="12" s="1"/>
  <c r="D153" i="20"/>
  <c r="D34" i="12" s="1"/>
  <c r="E153" i="20"/>
  <c r="E34" i="12" s="1"/>
  <c r="F153" i="20"/>
  <c r="F34" i="12" s="1"/>
  <c r="H153" i="20"/>
  <c r="H34" i="12" s="1"/>
  <c r="C160" i="20"/>
  <c r="C162" i="20" s="1"/>
  <c r="D160" i="20"/>
  <c r="E160" i="20"/>
  <c r="F160" i="20"/>
  <c r="G160" i="20"/>
  <c r="G130" i="20" s="1"/>
  <c r="G153" i="20" s="1"/>
  <c r="H160" i="20"/>
  <c r="H162" i="20" s="1"/>
  <c r="I160" i="20"/>
  <c r="J160" i="20"/>
  <c r="A165" i="20"/>
  <c r="A2" i="19"/>
  <c r="B2" i="19"/>
  <c r="C3" i="19"/>
  <c r="D3" i="19"/>
  <c r="E3" i="19"/>
  <c r="F3" i="19"/>
  <c r="G3" i="19"/>
  <c r="H3" i="19"/>
  <c r="C10" i="19"/>
  <c r="D10" i="19"/>
  <c r="E10" i="19"/>
  <c r="F10" i="19"/>
  <c r="G10" i="19"/>
  <c r="H10" i="19"/>
  <c r="H15" i="19"/>
  <c r="H92" i="19" s="1"/>
  <c r="I10" i="19"/>
  <c r="I15" i="19" s="1"/>
  <c r="I92" i="19" s="1"/>
  <c r="J10" i="19"/>
  <c r="K10" i="19"/>
  <c r="K15" i="19" s="1"/>
  <c r="K92" i="19" s="1"/>
  <c r="B12" i="19"/>
  <c r="C14" i="19"/>
  <c r="D14" i="19"/>
  <c r="E14" i="19"/>
  <c r="F14" i="19"/>
  <c r="G14" i="19"/>
  <c r="H14" i="19"/>
  <c r="I14" i="19"/>
  <c r="J14" i="19"/>
  <c r="K14" i="19"/>
  <c r="K62" i="7" s="1"/>
  <c r="C15" i="19"/>
  <c r="C92" i="19" s="1"/>
  <c r="D15" i="19"/>
  <c r="E15" i="19"/>
  <c r="E92" i="19" s="1"/>
  <c r="F15" i="19"/>
  <c r="G15" i="19"/>
  <c r="G92" i="19" s="1"/>
  <c r="J15" i="19"/>
  <c r="J92" i="19" s="1"/>
  <c r="A22" i="19"/>
  <c r="C22" i="19"/>
  <c r="C27" i="19" s="1"/>
  <c r="C93" i="19" s="1"/>
  <c r="D22" i="19"/>
  <c r="E22" i="19"/>
  <c r="E27" i="19" s="1"/>
  <c r="E93" i="19" s="1"/>
  <c r="F22" i="19"/>
  <c r="G22" i="19"/>
  <c r="G27" i="19" s="1"/>
  <c r="G93" i="19" s="1"/>
  <c r="H22" i="19"/>
  <c r="I22" i="19"/>
  <c r="I27" i="19" s="1"/>
  <c r="I93" i="19" s="1"/>
  <c r="J22" i="19"/>
  <c r="K22" i="19"/>
  <c r="A26" i="19"/>
  <c r="C26" i="19"/>
  <c r="D26" i="19"/>
  <c r="E26" i="19"/>
  <c r="F26" i="19"/>
  <c r="G26" i="19"/>
  <c r="H26" i="19"/>
  <c r="I26" i="19"/>
  <c r="J26" i="19"/>
  <c r="K26" i="19"/>
  <c r="A27" i="19"/>
  <c r="B27" i="19"/>
  <c r="D27" i="19"/>
  <c r="F27" i="19"/>
  <c r="H27" i="19"/>
  <c r="J27" i="19"/>
  <c r="J93" i="19" s="1"/>
  <c r="K27" i="19"/>
  <c r="A31" i="19"/>
  <c r="C31" i="19"/>
  <c r="D31" i="19"/>
  <c r="E31" i="19"/>
  <c r="F31" i="19"/>
  <c r="G31" i="19"/>
  <c r="H31" i="19"/>
  <c r="I31" i="19"/>
  <c r="J31" i="19"/>
  <c r="K31" i="19"/>
  <c r="A35" i="19"/>
  <c r="C35" i="19"/>
  <c r="D35" i="19"/>
  <c r="D36" i="19" s="1"/>
  <c r="D94" i="19" s="1"/>
  <c r="E35" i="19"/>
  <c r="F35" i="19"/>
  <c r="F36" i="19" s="1"/>
  <c r="F94" i="19" s="1"/>
  <c r="G35" i="19"/>
  <c r="H35" i="19"/>
  <c r="H36" i="19" s="1"/>
  <c r="H94" i="19" s="1"/>
  <c r="I35" i="19"/>
  <c r="J35" i="19"/>
  <c r="K35" i="19"/>
  <c r="A36" i="19"/>
  <c r="B36" i="19"/>
  <c r="C36" i="19"/>
  <c r="C94" i="19" s="1"/>
  <c r="E36" i="19"/>
  <c r="E94" i="19" s="1"/>
  <c r="G36" i="19"/>
  <c r="G94" i="19" s="1"/>
  <c r="I36" i="19"/>
  <c r="J36" i="19"/>
  <c r="J94" i="19" s="1"/>
  <c r="K36" i="19"/>
  <c r="A39" i="19"/>
  <c r="C39" i="19"/>
  <c r="D39" i="19"/>
  <c r="D46" i="19" s="1"/>
  <c r="D95" i="19" s="1"/>
  <c r="E39" i="19"/>
  <c r="F39" i="19"/>
  <c r="F46" i="19" s="1"/>
  <c r="F95" i="19" s="1"/>
  <c r="G39" i="19"/>
  <c r="H39" i="19"/>
  <c r="H46" i="19" s="1"/>
  <c r="H95" i="19" s="1"/>
  <c r="I39" i="19"/>
  <c r="J39" i="19"/>
  <c r="K39" i="19"/>
  <c r="A45" i="19"/>
  <c r="C45" i="19"/>
  <c r="D45" i="19"/>
  <c r="E45" i="19"/>
  <c r="F45" i="19"/>
  <c r="G45" i="19"/>
  <c r="H45" i="19"/>
  <c r="I45" i="19"/>
  <c r="J45" i="19"/>
  <c r="K45" i="19"/>
  <c r="A46" i="19"/>
  <c r="B46" i="19"/>
  <c r="C46" i="19"/>
  <c r="E46" i="19"/>
  <c r="G46" i="19"/>
  <c r="I46" i="19"/>
  <c r="J46" i="19"/>
  <c r="K46" i="19"/>
  <c r="C59" i="19"/>
  <c r="D126" i="29" s="1"/>
  <c r="D59" i="19"/>
  <c r="E126" i="29" s="1"/>
  <c r="E59" i="19"/>
  <c r="F126" i="29" s="1"/>
  <c r="F59" i="19"/>
  <c r="G126" i="29" s="1"/>
  <c r="G59" i="19"/>
  <c r="H126" i="29" s="1"/>
  <c r="H59" i="19"/>
  <c r="I126" i="29" s="1"/>
  <c r="I59" i="19"/>
  <c r="H59" i="7" s="1"/>
  <c r="J59" i="19"/>
  <c r="K59" i="19"/>
  <c r="C78" i="19"/>
  <c r="D52" i="62" s="1"/>
  <c r="D49" i="62" s="1"/>
  <c r="D78" i="19"/>
  <c r="E78" i="19"/>
  <c r="F52" i="62" s="1"/>
  <c r="F78" i="19"/>
  <c r="G78" i="19"/>
  <c r="H52" i="62" s="1"/>
  <c r="H49" i="62" s="1"/>
  <c r="H78" i="19"/>
  <c r="I78" i="19"/>
  <c r="I60" i="7" s="1"/>
  <c r="J78" i="19"/>
  <c r="L52" i="62" s="1"/>
  <c r="K78" i="19"/>
  <c r="M52" i="62" s="1"/>
  <c r="A79" i="19"/>
  <c r="F92" i="19"/>
  <c r="D93" i="19"/>
  <c r="F93" i="19"/>
  <c r="H93" i="19"/>
  <c r="I94" i="19"/>
  <c r="K94" i="19"/>
  <c r="C95" i="19"/>
  <c r="E95" i="19"/>
  <c r="G95" i="19"/>
  <c r="J95" i="19"/>
  <c r="A2" i="18"/>
  <c r="B2" i="18"/>
  <c r="C3" i="18"/>
  <c r="D3" i="18"/>
  <c r="E3" i="18"/>
  <c r="F3" i="18"/>
  <c r="G3" i="18"/>
  <c r="H3" i="18"/>
  <c r="C6" i="18"/>
  <c r="D6" i="18"/>
  <c r="D36" i="18" s="1"/>
  <c r="D41" i="18" s="1"/>
  <c r="E6" i="18"/>
  <c r="F6" i="18"/>
  <c r="F36" i="18" s="1"/>
  <c r="F41" i="18" s="1"/>
  <c r="G6" i="18"/>
  <c r="H6" i="18"/>
  <c r="H36" i="18" s="1"/>
  <c r="H41" i="18" s="1"/>
  <c r="I6" i="18"/>
  <c r="J6" i="18"/>
  <c r="J36" i="18" s="1"/>
  <c r="C7" i="18"/>
  <c r="C11" i="18" s="1"/>
  <c r="C5" i="18" s="1"/>
  <c r="D7" i="18"/>
  <c r="E7" i="18"/>
  <c r="F7" i="18"/>
  <c r="G7" i="18"/>
  <c r="G11" i="18" s="1"/>
  <c r="G5" i="18" s="1"/>
  <c r="H7" i="18"/>
  <c r="C8" i="18"/>
  <c r="D8" i="18"/>
  <c r="D38" i="18" s="1"/>
  <c r="E8" i="18"/>
  <c r="F8" i="18"/>
  <c r="F38" i="18" s="1"/>
  <c r="G8" i="18"/>
  <c r="H8" i="18"/>
  <c r="H38" i="18" s="1"/>
  <c r="C9" i="18"/>
  <c r="D9" i="18"/>
  <c r="D39" i="18" s="1"/>
  <c r="E9" i="18"/>
  <c r="F9" i="18"/>
  <c r="F39" i="18" s="1"/>
  <c r="G9" i="18"/>
  <c r="H9" i="18"/>
  <c r="H39" i="18" s="1"/>
  <c r="C10" i="18"/>
  <c r="C40" i="18" s="1"/>
  <c r="D10" i="18"/>
  <c r="F10" i="18"/>
  <c r="G10" i="18"/>
  <c r="G40" i="18" s="1"/>
  <c r="H10" i="18"/>
  <c r="I10" i="18"/>
  <c r="I40" i="18" s="1"/>
  <c r="J10" i="18"/>
  <c r="K10" i="18"/>
  <c r="K40" i="18" s="1"/>
  <c r="D11" i="18"/>
  <c r="D5" i="18" s="1"/>
  <c r="F11" i="18"/>
  <c r="F5" i="18" s="1"/>
  <c r="H11" i="18"/>
  <c r="H5" i="18" s="1"/>
  <c r="C12" i="18"/>
  <c r="D12" i="18"/>
  <c r="E12" i="18"/>
  <c r="F12" i="18"/>
  <c r="G12" i="18"/>
  <c r="H12" i="18"/>
  <c r="I12" i="18"/>
  <c r="J12" i="18"/>
  <c r="C13" i="18"/>
  <c r="D13" i="18"/>
  <c r="E13" i="18"/>
  <c r="F13" i="18"/>
  <c r="G13" i="18"/>
  <c r="H13" i="18"/>
  <c r="I13" i="18"/>
  <c r="J13" i="18"/>
  <c r="K13" i="18"/>
  <c r="C14" i="18"/>
  <c r="D14" i="18"/>
  <c r="E14" i="18"/>
  <c r="F14" i="18"/>
  <c r="G14" i="18"/>
  <c r="H14" i="18"/>
  <c r="I14" i="18"/>
  <c r="J14" i="18"/>
  <c r="K14" i="18"/>
  <c r="C15" i="18"/>
  <c r="D15" i="18"/>
  <c r="F15" i="18"/>
  <c r="G15" i="18"/>
  <c r="H15" i="18"/>
  <c r="J15" i="18"/>
  <c r="C16" i="18"/>
  <c r="D16" i="18"/>
  <c r="E16" i="18"/>
  <c r="F16" i="18"/>
  <c r="G16" i="18"/>
  <c r="H16" i="18"/>
  <c r="I16" i="18"/>
  <c r="J16" i="18"/>
  <c r="K16" i="18"/>
  <c r="A17" i="18"/>
  <c r="H10" i="63" s="1"/>
  <c r="C17" i="18"/>
  <c r="D17" i="18"/>
  <c r="E17" i="18"/>
  <c r="F17" i="18"/>
  <c r="G17" i="18"/>
  <c r="H17" i="18"/>
  <c r="I17" i="18"/>
  <c r="J17" i="18"/>
  <c r="K17" i="18"/>
  <c r="A18" i="18"/>
  <c r="H9" i="63" s="1"/>
  <c r="C18" i="18"/>
  <c r="D18" i="18"/>
  <c r="E18" i="18"/>
  <c r="F18" i="18"/>
  <c r="G18" i="18"/>
  <c r="H18" i="18"/>
  <c r="I18" i="18"/>
  <c r="J18" i="18"/>
  <c r="K18" i="18"/>
  <c r="C21" i="18"/>
  <c r="D21" i="18"/>
  <c r="E21" i="18"/>
  <c r="F21" i="18"/>
  <c r="G21" i="18"/>
  <c r="H21" i="18"/>
  <c r="I21" i="18"/>
  <c r="J21" i="18"/>
  <c r="K21" i="18"/>
  <c r="C22" i="18"/>
  <c r="C26" i="18" s="1"/>
  <c r="C20" i="18" s="1"/>
  <c r="D22" i="18"/>
  <c r="E22" i="18"/>
  <c r="E26" i="18" s="1"/>
  <c r="E20" i="18" s="1"/>
  <c r="F22" i="18"/>
  <c r="G22" i="18"/>
  <c r="G26" i="18" s="1"/>
  <c r="G20" i="18" s="1"/>
  <c r="H22" i="18"/>
  <c r="I22" i="18"/>
  <c r="I26" i="18" s="1"/>
  <c r="I20" i="18" s="1"/>
  <c r="J22" i="18"/>
  <c r="K22" i="18"/>
  <c r="C23" i="18"/>
  <c r="D23" i="18"/>
  <c r="E23" i="18"/>
  <c r="F23" i="18"/>
  <c r="G23" i="18"/>
  <c r="H23" i="18"/>
  <c r="I23" i="18"/>
  <c r="J23" i="18"/>
  <c r="K23" i="18"/>
  <c r="C24" i="18"/>
  <c r="D24" i="18"/>
  <c r="E24" i="18"/>
  <c r="F24" i="18"/>
  <c r="G24" i="18"/>
  <c r="H24" i="18"/>
  <c r="I24" i="18"/>
  <c r="J24" i="18"/>
  <c r="K24" i="18"/>
  <c r="C25" i="18"/>
  <c r="D25" i="18"/>
  <c r="E25" i="18"/>
  <c r="F25" i="18"/>
  <c r="G25" i="18"/>
  <c r="H25" i="18"/>
  <c r="I25" i="18"/>
  <c r="J25" i="18"/>
  <c r="K25" i="18"/>
  <c r="A26" i="18"/>
  <c r="D26" i="18"/>
  <c r="D20" i="18" s="1"/>
  <c r="F26" i="18"/>
  <c r="F20" i="18" s="1"/>
  <c r="H26" i="18"/>
  <c r="H20" i="18" s="1"/>
  <c r="J26" i="18"/>
  <c r="J20" i="18" s="1"/>
  <c r="L58" i="29" s="1"/>
  <c r="C27" i="18"/>
  <c r="D27" i="18"/>
  <c r="D42" i="18" s="1"/>
  <c r="E27" i="18"/>
  <c r="F27" i="18"/>
  <c r="F42" i="18" s="1"/>
  <c r="G27" i="18"/>
  <c r="H27" i="18"/>
  <c r="H42" i="18" s="1"/>
  <c r="I27" i="18"/>
  <c r="J27" i="18"/>
  <c r="J42" i="18" s="1"/>
  <c r="K27" i="18"/>
  <c r="C28" i="18"/>
  <c r="D28" i="18"/>
  <c r="E28" i="18"/>
  <c r="F28" i="18"/>
  <c r="G28" i="18"/>
  <c r="H28" i="18"/>
  <c r="I28" i="18"/>
  <c r="J28" i="18"/>
  <c r="K28" i="18"/>
  <c r="C29" i="18"/>
  <c r="D29" i="18"/>
  <c r="E29" i="18"/>
  <c r="F29" i="18"/>
  <c r="G29" i="18"/>
  <c r="H29" i="18"/>
  <c r="I29" i="18"/>
  <c r="J29" i="18"/>
  <c r="K29" i="18"/>
  <c r="C30" i="18"/>
  <c r="D30" i="18"/>
  <c r="E30" i="18"/>
  <c r="F30" i="18"/>
  <c r="G30" i="18"/>
  <c r="H30" i="18"/>
  <c r="I30" i="18"/>
  <c r="J30" i="18"/>
  <c r="K30" i="18"/>
  <c r="C31" i="18"/>
  <c r="D31" i="18"/>
  <c r="D46" i="18" s="1"/>
  <c r="E31" i="18"/>
  <c r="F31" i="18"/>
  <c r="F46" i="18" s="1"/>
  <c r="G31" i="18"/>
  <c r="H31" i="18"/>
  <c r="H46" i="18" s="1"/>
  <c r="I31" i="18"/>
  <c r="J31" i="18"/>
  <c r="J46" i="18" s="1"/>
  <c r="K31" i="18"/>
  <c r="A32" i="18"/>
  <c r="A47" i="18" s="1"/>
  <c r="C32" i="18"/>
  <c r="D32" i="18"/>
  <c r="D47" i="18" s="1"/>
  <c r="E32" i="18"/>
  <c r="F32" i="18"/>
  <c r="F47" i="18" s="1"/>
  <c r="G32" i="18"/>
  <c r="H32" i="18"/>
  <c r="H47" i="18" s="1"/>
  <c r="I32" i="18"/>
  <c r="J32" i="18"/>
  <c r="J47" i="18" s="1"/>
  <c r="K32" i="18"/>
  <c r="A33" i="18"/>
  <c r="A48" i="18" s="1"/>
  <c r="C33" i="18"/>
  <c r="D33" i="18"/>
  <c r="D48" i="18" s="1"/>
  <c r="E56" i="62" s="1"/>
  <c r="E33" i="18"/>
  <c r="F33" i="18"/>
  <c r="F48" i="18" s="1"/>
  <c r="G56" i="62" s="1"/>
  <c r="G33" i="18"/>
  <c r="H33" i="18"/>
  <c r="H48" i="18" s="1"/>
  <c r="I56" i="62" s="1"/>
  <c r="I33" i="18"/>
  <c r="J33" i="18"/>
  <c r="J48" i="18" s="1"/>
  <c r="L56" i="62" s="1"/>
  <c r="K33" i="18"/>
  <c r="C36" i="18"/>
  <c r="E36" i="18"/>
  <c r="G36" i="18"/>
  <c r="I36" i="18"/>
  <c r="D37" i="18"/>
  <c r="F37" i="18"/>
  <c r="H37" i="18"/>
  <c r="C38" i="18"/>
  <c r="E38" i="18"/>
  <c r="G38" i="18"/>
  <c r="C39" i="18"/>
  <c r="E39" i="18"/>
  <c r="G39" i="18"/>
  <c r="D40" i="18"/>
  <c r="F40" i="18"/>
  <c r="H40" i="18"/>
  <c r="J40" i="18"/>
  <c r="A41" i="18"/>
  <c r="A42" i="18"/>
  <c r="A12" i="18" s="1"/>
  <c r="C42" i="18"/>
  <c r="E42" i="18"/>
  <c r="G42" i="18"/>
  <c r="I42" i="18"/>
  <c r="A43" i="18"/>
  <c r="A13" i="18" s="1"/>
  <c r="C43" i="18"/>
  <c r="D43" i="18"/>
  <c r="E43" i="18"/>
  <c r="F43" i="18"/>
  <c r="G43" i="18"/>
  <c r="H43" i="18"/>
  <c r="I43" i="18"/>
  <c r="J43" i="18"/>
  <c r="K43" i="18"/>
  <c r="A44" i="18"/>
  <c r="A14" i="18" s="1"/>
  <c r="C44" i="18"/>
  <c r="D44" i="18"/>
  <c r="E44" i="18"/>
  <c r="F44" i="18"/>
  <c r="G44" i="18"/>
  <c r="H44" i="18"/>
  <c r="I44" i="18"/>
  <c r="J44" i="18"/>
  <c r="K44" i="18"/>
  <c r="A45" i="18"/>
  <c r="A15" i="18" s="1"/>
  <c r="C45" i="18"/>
  <c r="D45" i="18"/>
  <c r="F45" i="18"/>
  <c r="G45" i="18"/>
  <c r="H45" i="18"/>
  <c r="J45" i="18"/>
  <c r="C46" i="18"/>
  <c r="E46" i="18"/>
  <c r="G46" i="18"/>
  <c r="I46" i="18"/>
  <c r="K46" i="18"/>
  <c r="C47" i="18"/>
  <c r="E47" i="18"/>
  <c r="G47" i="18"/>
  <c r="I47" i="18"/>
  <c r="K47" i="18"/>
  <c r="C48" i="18"/>
  <c r="D56" i="62" s="1"/>
  <c r="D54" i="62" s="1"/>
  <c r="D53" i="62" s="1"/>
  <c r="E48" i="18"/>
  <c r="F56" i="62" s="1"/>
  <c r="F54" i="62" s="1"/>
  <c r="F53" i="62" s="1"/>
  <c r="G48" i="18"/>
  <c r="H56" i="62" s="1"/>
  <c r="H54" i="62" s="1"/>
  <c r="H53" i="62" s="1"/>
  <c r="I48" i="18"/>
  <c r="K48" i="18"/>
  <c r="M56" i="62" s="1"/>
  <c r="I52" i="18"/>
  <c r="J52" i="18"/>
  <c r="K52" i="18" s="1"/>
  <c r="J56" i="18"/>
  <c r="K56" i="18" s="1"/>
  <c r="A57" i="18"/>
  <c r="C57" i="18"/>
  <c r="D57" i="18"/>
  <c r="E57" i="18"/>
  <c r="F57" i="18"/>
  <c r="G57" i="18"/>
  <c r="H57" i="18"/>
  <c r="J58" i="18"/>
  <c r="K58" i="18" s="1"/>
  <c r="C60" i="18"/>
  <c r="C65" i="18" s="1"/>
  <c r="D60" i="18"/>
  <c r="E60" i="18"/>
  <c r="E65" i="18" s="1"/>
  <c r="F60" i="18"/>
  <c r="G60" i="18"/>
  <c r="G65" i="18" s="1"/>
  <c r="H60" i="18"/>
  <c r="I60" i="18"/>
  <c r="J60" i="18"/>
  <c r="K60" i="18"/>
  <c r="C62" i="18"/>
  <c r="D62" i="18"/>
  <c r="E62" i="18"/>
  <c r="F62" i="18"/>
  <c r="G62" i="18"/>
  <c r="H62" i="18"/>
  <c r="I62" i="18"/>
  <c r="J62" i="18"/>
  <c r="K62" i="18"/>
  <c r="A63" i="18"/>
  <c r="C63" i="18"/>
  <c r="D63" i="18"/>
  <c r="E63" i="18"/>
  <c r="F63" i="18"/>
  <c r="G63" i="18"/>
  <c r="H63" i="18"/>
  <c r="I63" i="18"/>
  <c r="J63" i="18"/>
  <c r="K63" i="18"/>
  <c r="A64" i="18"/>
  <c r="C64" i="18"/>
  <c r="D64" i="18"/>
  <c r="E64" i="18"/>
  <c r="F64" i="18"/>
  <c r="G64" i="18"/>
  <c r="H64" i="18"/>
  <c r="I64" i="18"/>
  <c r="J64" i="18"/>
  <c r="K64" i="18"/>
  <c r="D65" i="18"/>
  <c r="D95" i="18" s="1"/>
  <c r="F65" i="18"/>
  <c r="F95" i="18" s="1"/>
  <c r="H65" i="18"/>
  <c r="H95" i="18" s="1"/>
  <c r="A68" i="18"/>
  <c r="C70" i="18"/>
  <c r="D70" i="18"/>
  <c r="D75" i="18" s="1"/>
  <c r="D69" i="18" s="1"/>
  <c r="E70" i="18"/>
  <c r="F70" i="18"/>
  <c r="G70" i="18"/>
  <c r="H70" i="18"/>
  <c r="J70" i="18"/>
  <c r="C71" i="18"/>
  <c r="D71" i="18"/>
  <c r="E71" i="18"/>
  <c r="F71" i="18"/>
  <c r="G71" i="18"/>
  <c r="G75" i="18" s="1"/>
  <c r="G69" i="18" s="1"/>
  <c r="H71" i="18"/>
  <c r="I71" i="18"/>
  <c r="C72" i="18"/>
  <c r="D72" i="18"/>
  <c r="F72" i="18"/>
  <c r="G72" i="18"/>
  <c r="H72" i="18"/>
  <c r="C73" i="18"/>
  <c r="D73" i="18"/>
  <c r="E73" i="18"/>
  <c r="F73" i="18"/>
  <c r="G73" i="18"/>
  <c r="H73" i="18"/>
  <c r="I73" i="18"/>
  <c r="J73" i="18"/>
  <c r="C74" i="18"/>
  <c r="D74" i="18"/>
  <c r="E74" i="18"/>
  <c r="F74" i="18"/>
  <c r="G74" i="18"/>
  <c r="H74" i="18"/>
  <c r="I74" i="18"/>
  <c r="J74" i="18"/>
  <c r="K74" i="18"/>
  <c r="A75" i="18"/>
  <c r="C75" i="18"/>
  <c r="C69" i="18" s="1"/>
  <c r="F75" i="18"/>
  <c r="F69" i="18" s="1"/>
  <c r="H75" i="18"/>
  <c r="H69" i="18" s="1"/>
  <c r="C76" i="18"/>
  <c r="D76" i="18"/>
  <c r="E76" i="18"/>
  <c r="F76" i="18"/>
  <c r="G76" i="18"/>
  <c r="H76" i="18"/>
  <c r="I76" i="18"/>
  <c r="J76" i="18"/>
  <c r="K76" i="18"/>
  <c r="C77" i="18"/>
  <c r="D77" i="18"/>
  <c r="E77" i="18"/>
  <c r="F77" i="18"/>
  <c r="G77" i="18"/>
  <c r="H77" i="18"/>
  <c r="I77" i="18"/>
  <c r="J77" i="18"/>
  <c r="K77" i="18"/>
  <c r="C78" i="18"/>
  <c r="D78" i="18"/>
  <c r="E78" i="18"/>
  <c r="F78" i="18"/>
  <c r="G78" i="18"/>
  <c r="H78" i="18"/>
  <c r="I78" i="18"/>
  <c r="J78" i="18"/>
  <c r="K78" i="18"/>
  <c r="C79" i="18"/>
  <c r="D79" i="18"/>
  <c r="F79" i="18"/>
  <c r="G79" i="18"/>
  <c r="H79" i="18"/>
  <c r="A87" i="18"/>
  <c r="A2" i="17"/>
  <c r="B2" i="17"/>
  <c r="C3" i="17"/>
  <c r="D3" i="17"/>
  <c r="E3" i="17"/>
  <c r="F3" i="17"/>
  <c r="G3" i="17"/>
  <c r="H3" i="17"/>
  <c r="I3" i="17"/>
  <c r="A5" i="17"/>
  <c r="A7" i="17"/>
  <c r="C7" i="17"/>
  <c r="D7" i="17"/>
  <c r="E7" i="17"/>
  <c r="F7" i="17"/>
  <c r="G7" i="17"/>
  <c r="H7" i="17"/>
  <c r="I7" i="17"/>
  <c r="J7" i="17"/>
  <c r="K7" i="17"/>
  <c r="L7" i="17"/>
  <c r="A11" i="17"/>
  <c r="C11" i="17"/>
  <c r="D11" i="17"/>
  <c r="E11" i="17"/>
  <c r="F11" i="17"/>
  <c r="G11" i="17"/>
  <c r="H11" i="17"/>
  <c r="I11" i="17"/>
  <c r="J11" i="17"/>
  <c r="K11" i="17"/>
  <c r="C12" i="17"/>
  <c r="D12" i="17"/>
  <c r="E12" i="17"/>
  <c r="F12" i="17"/>
  <c r="G12" i="17"/>
  <c r="H12" i="17"/>
  <c r="J12" i="17"/>
  <c r="L12" i="17"/>
  <c r="A18" i="17"/>
  <c r="A20" i="17"/>
  <c r="C31" i="17"/>
  <c r="D31" i="17"/>
  <c r="E31" i="17"/>
  <c r="F31" i="17"/>
  <c r="G31" i="17"/>
  <c r="H31" i="17"/>
  <c r="I31" i="17"/>
  <c r="J31" i="17"/>
  <c r="K31" i="17"/>
  <c r="L31" i="17"/>
  <c r="A40" i="17"/>
  <c r="C52" i="17"/>
  <c r="C16" i="17" s="1"/>
  <c r="D52" i="17"/>
  <c r="D16" i="17" s="1"/>
  <c r="E52" i="17"/>
  <c r="E16" i="17" s="1"/>
  <c r="F52" i="17"/>
  <c r="F16" i="17" s="1"/>
  <c r="G52" i="17"/>
  <c r="G16" i="17" s="1"/>
  <c r="H52" i="17"/>
  <c r="H16" i="17" s="1"/>
  <c r="I52" i="17"/>
  <c r="I16" i="17" s="1"/>
  <c r="J52" i="17"/>
  <c r="J16" i="17" s="1"/>
  <c r="K52" i="17"/>
  <c r="K16" i="17" s="1"/>
  <c r="L52" i="17"/>
  <c r="L16" i="17" s="1"/>
  <c r="A53" i="17"/>
  <c r="A54" i="17"/>
  <c r="C54" i="17"/>
  <c r="D54" i="17"/>
  <c r="E54" i="17"/>
  <c r="F54" i="17"/>
  <c r="G54" i="17"/>
  <c r="H54" i="17"/>
  <c r="I54" i="17"/>
  <c r="J54" i="17"/>
  <c r="K54" i="17"/>
  <c r="L54" i="17"/>
  <c r="A55" i="17"/>
  <c r="A56" i="17"/>
  <c r="C67" i="17"/>
  <c r="D67" i="17"/>
  <c r="E67" i="17"/>
  <c r="F67" i="17"/>
  <c r="G67" i="17"/>
  <c r="H67" i="17"/>
  <c r="I67" i="17"/>
  <c r="J67" i="17"/>
  <c r="K67" i="17"/>
  <c r="L67" i="17"/>
  <c r="A2" i="16"/>
  <c r="B2" i="16"/>
  <c r="C3" i="16"/>
  <c r="D3" i="16"/>
  <c r="E3" i="16"/>
  <c r="F3" i="16"/>
  <c r="G3" i="16"/>
  <c r="H3" i="16"/>
  <c r="I3" i="16"/>
  <c r="J6" i="16"/>
  <c r="K6" i="16"/>
  <c r="L6" i="16"/>
  <c r="J7" i="16"/>
  <c r="K7" i="16"/>
  <c r="L7" i="16"/>
  <c r="J8" i="16"/>
  <c r="K8" i="16"/>
  <c r="J9" i="16"/>
  <c r="K18" i="62" s="1"/>
  <c r="K9" i="16"/>
  <c r="L18" i="62" s="1"/>
  <c r="L9" i="16"/>
  <c r="M18" i="62" s="1"/>
  <c r="J10" i="16"/>
  <c r="K19" i="62" s="1"/>
  <c r="K10" i="16"/>
  <c r="L19" i="62" s="1"/>
  <c r="L10" i="16"/>
  <c r="M19" i="62" s="1"/>
  <c r="J11" i="16"/>
  <c r="K24" i="62" s="1"/>
  <c r="K11" i="16"/>
  <c r="L24" i="62" s="1"/>
  <c r="L11" i="16"/>
  <c r="M24" i="62" s="1"/>
  <c r="J12" i="16"/>
  <c r="K25" i="62" s="1"/>
  <c r="K12" i="16"/>
  <c r="L25" i="62" s="1"/>
  <c r="L12" i="16"/>
  <c r="M25" i="62" s="1"/>
  <c r="J14" i="16"/>
  <c r="K14" i="16"/>
  <c r="L14" i="16"/>
  <c r="J15" i="16"/>
  <c r="K44" i="62" s="1"/>
  <c r="K43" i="62" s="1"/>
  <c r="K15" i="16"/>
  <c r="L44" i="62" s="1"/>
  <c r="L43" i="62" s="1"/>
  <c r="L15" i="16"/>
  <c r="M44" i="62" s="1"/>
  <c r="M43" i="62" s="1"/>
  <c r="C17" i="16"/>
  <c r="D17" i="16"/>
  <c r="E17" i="16"/>
  <c r="F17" i="16"/>
  <c r="F38" i="16" s="1"/>
  <c r="G17" i="16"/>
  <c r="H17" i="16"/>
  <c r="I17" i="16"/>
  <c r="J21" i="16"/>
  <c r="K29" i="62" s="1"/>
  <c r="K27" i="62" s="1"/>
  <c r="K21" i="16"/>
  <c r="L29" i="62" s="1"/>
  <c r="L27" i="62" s="1"/>
  <c r="L21" i="16"/>
  <c r="M29" i="62" s="1"/>
  <c r="M27" i="62" s="1"/>
  <c r="J22" i="16"/>
  <c r="K22" i="16"/>
  <c r="L70" i="62" s="1"/>
  <c r="L22" i="16"/>
  <c r="J23" i="16"/>
  <c r="K23" i="16"/>
  <c r="L23" i="16"/>
  <c r="J24" i="16"/>
  <c r="K24" i="16"/>
  <c r="L24" i="16"/>
  <c r="C27" i="16"/>
  <c r="C38" i="16" s="1"/>
  <c r="C40" i="16" s="1"/>
  <c r="D27" i="16"/>
  <c r="E27" i="16"/>
  <c r="E38" i="16" s="1"/>
  <c r="F27" i="16"/>
  <c r="G27" i="16"/>
  <c r="G38" i="16" s="1"/>
  <c r="G40" i="16" s="1"/>
  <c r="H27" i="16"/>
  <c r="I27" i="16"/>
  <c r="I38" i="16" s="1"/>
  <c r="J31" i="16"/>
  <c r="K31" i="16"/>
  <c r="L31" i="16"/>
  <c r="J32" i="16"/>
  <c r="K32" i="16"/>
  <c r="L32" i="16"/>
  <c r="L48" i="16" s="1"/>
  <c r="J33" i="16"/>
  <c r="K62" i="62" s="1"/>
  <c r="K33" i="16"/>
  <c r="L62" i="62" s="1"/>
  <c r="L33" i="16"/>
  <c r="M62" i="62" s="1"/>
  <c r="J35" i="16"/>
  <c r="K35" i="16"/>
  <c r="L65" i="62" s="1"/>
  <c r="L35" i="16"/>
  <c r="L36" i="16" s="1"/>
  <c r="K44" i="7" s="1"/>
  <c r="C36" i="16"/>
  <c r="D36" i="16"/>
  <c r="E36" i="16"/>
  <c r="F36" i="16"/>
  <c r="G36" i="16"/>
  <c r="H36" i="16"/>
  <c r="I36" i="16"/>
  <c r="J36" i="16"/>
  <c r="D38" i="16"/>
  <c r="H38" i="16"/>
  <c r="E40" i="16"/>
  <c r="I40" i="16"/>
  <c r="A41" i="16"/>
  <c r="C45" i="16"/>
  <c r="C47" i="16" s="1"/>
  <c r="C50" i="16" s="1"/>
  <c r="D45" i="16"/>
  <c r="E45" i="16"/>
  <c r="F45" i="16"/>
  <c r="G45" i="16"/>
  <c r="G47" i="16" s="1"/>
  <c r="G50" i="16" s="1"/>
  <c r="H45" i="16"/>
  <c r="I45" i="16"/>
  <c r="C46" i="16"/>
  <c r="D46" i="16"/>
  <c r="D47" i="16" s="1"/>
  <c r="E46" i="16"/>
  <c r="F46" i="16"/>
  <c r="F47" i="16" s="1"/>
  <c r="G46" i="16"/>
  <c r="H46" i="16"/>
  <c r="H47" i="16" s="1"/>
  <c r="I46" i="16"/>
  <c r="E47" i="16"/>
  <c r="I47" i="16"/>
  <c r="C48" i="16"/>
  <c r="D48" i="16"/>
  <c r="E48" i="16"/>
  <c r="F48" i="16"/>
  <c r="G48" i="16"/>
  <c r="H48" i="16"/>
  <c r="I48" i="16"/>
  <c r="J48" i="16"/>
  <c r="A49" i="16"/>
  <c r="C49" i="16"/>
  <c r="D49" i="16"/>
  <c r="E49" i="16"/>
  <c r="F49" i="16"/>
  <c r="G49" i="16"/>
  <c r="H49" i="16"/>
  <c r="I49" i="16"/>
  <c r="K49" i="16"/>
  <c r="E50" i="16"/>
  <c r="I50" i="16"/>
  <c r="A2" i="15"/>
  <c r="B2" i="15"/>
  <c r="C3" i="15"/>
  <c r="D3" i="15"/>
  <c r="E3" i="15"/>
  <c r="F3" i="15"/>
  <c r="G3" i="15"/>
  <c r="H3" i="15"/>
  <c r="I3" i="15"/>
  <c r="C7" i="15"/>
  <c r="D7" i="15"/>
  <c r="E7" i="15"/>
  <c r="F7" i="15"/>
  <c r="G7" i="15"/>
  <c r="H7" i="15"/>
  <c r="I7" i="15"/>
  <c r="C8" i="15"/>
  <c r="D8" i="15"/>
  <c r="D12" i="15" s="1"/>
  <c r="E8" i="15"/>
  <c r="F8" i="15"/>
  <c r="G8" i="15"/>
  <c r="H8" i="15"/>
  <c r="H12" i="15" s="1"/>
  <c r="I8" i="15"/>
  <c r="J10" i="15"/>
  <c r="J11" i="15"/>
  <c r="F12" i="15"/>
  <c r="C19" i="15"/>
  <c r="C24" i="15" s="1"/>
  <c r="D19" i="15"/>
  <c r="E19" i="15"/>
  <c r="E24" i="15" s="1"/>
  <c r="F19" i="15"/>
  <c r="G19" i="15"/>
  <c r="G24" i="15" s="1"/>
  <c r="H19" i="15"/>
  <c r="I19" i="15"/>
  <c r="I24" i="15" s="1"/>
  <c r="D24" i="15"/>
  <c r="F24" i="15"/>
  <c r="H24" i="15"/>
  <c r="F25" i="15"/>
  <c r="F42" i="15" s="1"/>
  <c r="C30" i="15"/>
  <c r="C34" i="15" s="1"/>
  <c r="D30" i="15"/>
  <c r="E30" i="15"/>
  <c r="E34" i="15" s="1"/>
  <c r="F30" i="15"/>
  <c r="G30" i="15"/>
  <c r="G34" i="15" s="1"/>
  <c r="H30" i="15"/>
  <c r="I30" i="15"/>
  <c r="I34" i="15" s="1"/>
  <c r="J30" i="15"/>
  <c r="K30" i="15"/>
  <c r="L30" i="15"/>
  <c r="C32" i="15"/>
  <c r="D32" i="15"/>
  <c r="E32" i="15"/>
  <c r="F32" i="15"/>
  <c r="G32" i="15"/>
  <c r="H32" i="15"/>
  <c r="I32" i="15"/>
  <c r="J33" i="15"/>
  <c r="D34" i="15"/>
  <c r="F34" i="15"/>
  <c r="H34" i="15"/>
  <c r="C37" i="15"/>
  <c r="C11" i="27" s="1"/>
  <c r="D37" i="15"/>
  <c r="E37" i="15"/>
  <c r="E11" i="27" s="1"/>
  <c r="F37" i="15"/>
  <c r="G37" i="15"/>
  <c r="G11" i="27" s="1"/>
  <c r="H37" i="15"/>
  <c r="I37" i="15"/>
  <c r="I11" i="27" s="1"/>
  <c r="J37" i="15"/>
  <c r="K37" i="15"/>
  <c r="K11" i="27" s="1"/>
  <c r="L37" i="15"/>
  <c r="C38" i="15"/>
  <c r="D38" i="15"/>
  <c r="E38" i="15"/>
  <c r="F38" i="15"/>
  <c r="G38" i="15"/>
  <c r="H38" i="15"/>
  <c r="I38" i="15"/>
  <c r="J38" i="15"/>
  <c r="K38" i="15"/>
  <c r="C39" i="15"/>
  <c r="D39" i="15"/>
  <c r="E39" i="15"/>
  <c r="F39" i="15"/>
  <c r="G39" i="15"/>
  <c r="H39" i="15"/>
  <c r="I39" i="15"/>
  <c r="J39" i="15"/>
  <c r="K39" i="15"/>
  <c r="J38" i="7" s="1"/>
  <c r="D40" i="15"/>
  <c r="F40" i="15"/>
  <c r="H40" i="15"/>
  <c r="C46" i="15"/>
  <c r="D46" i="15"/>
  <c r="E46" i="15"/>
  <c r="F46" i="15"/>
  <c r="G46" i="15"/>
  <c r="H46" i="15"/>
  <c r="I46" i="15"/>
  <c r="J46" i="15"/>
  <c r="K46" i="15"/>
  <c r="L46" i="15"/>
  <c r="L48" i="15" s="1"/>
  <c r="K39" i="7" s="1"/>
  <c r="C48" i="15"/>
  <c r="D48" i="15"/>
  <c r="E48" i="15"/>
  <c r="F48" i="15"/>
  <c r="G48" i="15"/>
  <c r="H48" i="15"/>
  <c r="I48" i="15"/>
  <c r="K48" i="15"/>
  <c r="J39" i="7" s="1"/>
  <c r="A49" i="15"/>
  <c r="F71" i="15"/>
  <c r="A2" i="14"/>
  <c r="B2" i="14"/>
  <c r="C3" i="14"/>
  <c r="D3" i="14"/>
  <c r="E3" i="14"/>
  <c r="F3" i="14"/>
  <c r="G3" i="14"/>
  <c r="H3" i="14"/>
  <c r="I3" i="14"/>
  <c r="C6" i="14"/>
  <c r="C6" i="13" s="1"/>
  <c r="D6" i="14"/>
  <c r="D6" i="13" s="1"/>
  <c r="E6" i="14"/>
  <c r="E6" i="13" s="1"/>
  <c r="F6" i="14"/>
  <c r="F6" i="13" s="1"/>
  <c r="G6" i="14"/>
  <c r="G6" i="13" s="1"/>
  <c r="H6" i="14"/>
  <c r="H6" i="13" s="1"/>
  <c r="I6" i="14"/>
  <c r="I6" i="13" s="1"/>
  <c r="N6" i="14"/>
  <c r="O6" i="14"/>
  <c r="P6" i="14"/>
  <c r="R6" i="14"/>
  <c r="S6" i="14"/>
  <c r="T6" i="14"/>
  <c r="V6" i="14"/>
  <c r="W6" i="14"/>
  <c r="X6" i="14"/>
  <c r="A7" i="14"/>
  <c r="L7" i="14"/>
  <c r="Q7" i="14"/>
  <c r="J7" i="14" s="1"/>
  <c r="U7" i="14"/>
  <c r="K7" i="14" s="1"/>
  <c r="A8" i="14"/>
  <c r="A177" i="14" s="1"/>
  <c r="L8" i="14"/>
  <c r="Q8" i="14"/>
  <c r="J8" i="14" s="1"/>
  <c r="U8" i="14"/>
  <c r="K8" i="14" s="1"/>
  <c r="A9" i="14"/>
  <c r="A178" i="14" s="1"/>
  <c r="L9" i="14"/>
  <c r="Q9" i="14"/>
  <c r="J9" i="14" s="1"/>
  <c r="U9" i="14"/>
  <c r="A10" i="14"/>
  <c r="A179" i="14" s="1"/>
  <c r="L10" i="14"/>
  <c r="Q10" i="14"/>
  <c r="J10" i="14" s="1"/>
  <c r="U10" i="14"/>
  <c r="K10" i="14" s="1"/>
  <c r="A11" i="14"/>
  <c r="A180" i="14" s="1"/>
  <c r="L11" i="14"/>
  <c r="Q11" i="14"/>
  <c r="J11" i="14" s="1"/>
  <c r="U11" i="14"/>
  <c r="K11" i="14" s="1"/>
  <c r="A12" i="14"/>
  <c r="A181" i="14" s="1"/>
  <c r="L12" i="14"/>
  <c r="Q12" i="14"/>
  <c r="J12" i="14" s="1"/>
  <c r="U12" i="14"/>
  <c r="K12" i="14" s="1"/>
  <c r="A13" i="14"/>
  <c r="A182" i="14" s="1"/>
  <c r="L13" i="14"/>
  <c r="Q13" i="14"/>
  <c r="J13" i="14" s="1"/>
  <c r="U13" i="14"/>
  <c r="K13" i="14" s="1"/>
  <c r="A14" i="14"/>
  <c r="A183" i="14" s="1"/>
  <c r="L14" i="14"/>
  <c r="Q14" i="14"/>
  <c r="J14" i="14" s="1"/>
  <c r="U14" i="14"/>
  <c r="K14" i="14" s="1"/>
  <c r="A15" i="14"/>
  <c r="A184" i="14" s="1"/>
  <c r="L15" i="14"/>
  <c r="Q15" i="14"/>
  <c r="J15" i="14" s="1"/>
  <c r="U15" i="14"/>
  <c r="K15" i="14" s="1"/>
  <c r="A16" i="14"/>
  <c r="A185" i="14" s="1"/>
  <c r="L16" i="14"/>
  <c r="Q16" i="14"/>
  <c r="J16" i="14" s="1"/>
  <c r="U16" i="14"/>
  <c r="K16" i="14" s="1"/>
  <c r="C17" i="14"/>
  <c r="C7" i="13" s="1"/>
  <c r="D17" i="14"/>
  <c r="D7" i="13" s="1"/>
  <c r="E17" i="14"/>
  <c r="E7" i="13" s="1"/>
  <c r="F17" i="14"/>
  <c r="F7" i="13" s="1"/>
  <c r="G17" i="14"/>
  <c r="G7" i="13" s="1"/>
  <c r="H17" i="14"/>
  <c r="I17" i="14"/>
  <c r="N17" i="14"/>
  <c r="O17" i="14"/>
  <c r="P17" i="14"/>
  <c r="R17" i="14"/>
  <c r="S17" i="14"/>
  <c r="T17" i="14"/>
  <c r="V17" i="14"/>
  <c r="W17" i="14"/>
  <c r="X17" i="14"/>
  <c r="A18" i="14"/>
  <c r="A187" i="14" s="1"/>
  <c r="L18" i="14"/>
  <c r="Q18" i="14"/>
  <c r="U18" i="14"/>
  <c r="K18" i="14" s="1"/>
  <c r="A19" i="14"/>
  <c r="A188" i="14" s="1"/>
  <c r="L19" i="14"/>
  <c r="Q19" i="14"/>
  <c r="J19" i="14" s="1"/>
  <c r="U19" i="14"/>
  <c r="K19" i="14" s="1"/>
  <c r="A20" i="14"/>
  <c r="A189" i="14" s="1"/>
  <c r="L20" i="14"/>
  <c r="Q20" i="14"/>
  <c r="J20" i="14" s="1"/>
  <c r="U20" i="14"/>
  <c r="K20" i="14" s="1"/>
  <c r="A21" i="14"/>
  <c r="A190" i="14" s="1"/>
  <c r="L21" i="14"/>
  <c r="Q21" i="14"/>
  <c r="J21" i="14" s="1"/>
  <c r="U21" i="14"/>
  <c r="K21" i="14" s="1"/>
  <c r="A22" i="14"/>
  <c r="A191" i="14" s="1"/>
  <c r="L22" i="14"/>
  <c r="Q22" i="14"/>
  <c r="J22" i="14" s="1"/>
  <c r="U22" i="14"/>
  <c r="K22" i="14" s="1"/>
  <c r="A23" i="14"/>
  <c r="A192" i="14" s="1"/>
  <c r="L23" i="14"/>
  <c r="Q23" i="14"/>
  <c r="J23" i="14" s="1"/>
  <c r="U23" i="14"/>
  <c r="K23" i="14" s="1"/>
  <c r="A24" i="14"/>
  <c r="A193" i="14" s="1"/>
  <c r="L24" i="14"/>
  <c r="Q24" i="14"/>
  <c r="J24" i="14" s="1"/>
  <c r="U24" i="14"/>
  <c r="K24" i="14" s="1"/>
  <c r="A25" i="14"/>
  <c r="A194" i="14" s="1"/>
  <c r="L25" i="14"/>
  <c r="Q25" i="14"/>
  <c r="J25" i="14" s="1"/>
  <c r="U25" i="14"/>
  <c r="K25" i="14" s="1"/>
  <c r="A26" i="14"/>
  <c r="A195" i="14" s="1"/>
  <c r="L26" i="14"/>
  <c r="Q26" i="14"/>
  <c r="J26" i="14" s="1"/>
  <c r="U26" i="14"/>
  <c r="K26" i="14" s="1"/>
  <c r="A27" i="14"/>
  <c r="A196" i="14" s="1"/>
  <c r="L27" i="14"/>
  <c r="Q27" i="14"/>
  <c r="J27" i="14" s="1"/>
  <c r="U27" i="14"/>
  <c r="K27" i="14" s="1"/>
  <c r="C28" i="14"/>
  <c r="D28" i="14"/>
  <c r="D8" i="13" s="1"/>
  <c r="E28" i="14"/>
  <c r="E8" i="13" s="1"/>
  <c r="F28" i="14"/>
  <c r="F8" i="13" s="1"/>
  <c r="G28" i="14"/>
  <c r="G8" i="13" s="1"/>
  <c r="H28" i="14"/>
  <c r="H8" i="13" s="1"/>
  <c r="I28" i="14"/>
  <c r="I8" i="13" s="1"/>
  <c r="N28" i="14"/>
  <c r="O28" i="14"/>
  <c r="P28" i="14"/>
  <c r="R28" i="14"/>
  <c r="S28" i="14"/>
  <c r="T28" i="14"/>
  <c r="V28" i="14"/>
  <c r="W28" i="14"/>
  <c r="X28" i="14"/>
  <c r="A29" i="14"/>
  <c r="A198" i="14" s="1"/>
  <c r="L29" i="14"/>
  <c r="Q29" i="14"/>
  <c r="J29" i="14" s="1"/>
  <c r="U29" i="14"/>
  <c r="A30" i="14"/>
  <c r="A199" i="14" s="1"/>
  <c r="L30" i="14"/>
  <c r="Q30" i="14"/>
  <c r="J30" i="14" s="1"/>
  <c r="U30" i="14"/>
  <c r="K30" i="14" s="1"/>
  <c r="A31" i="14"/>
  <c r="A200" i="14" s="1"/>
  <c r="L31" i="14"/>
  <c r="Q31" i="14"/>
  <c r="J31" i="14" s="1"/>
  <c r="U31" i="14"/>
  <c r="K31" i="14" s="1"/>
  <c r="A32" i="14"/>
  <c r="A201" i="14" s="1"/>
  <c r="L32" i="14"/>
  <c r="Q32" i="14"/>
  <c r="J32" i="14" s="1"/>
  <c r="U32" i="14"/>
  <c r="K32" i="14" s="1"/>
  <c r="A33" i="14"/>
  <c r="A202" i="14" s="1"/>
  <c r="L33" i="14"/>
  <c r="Q33" i="14"/>
  <c r="J33" i="14" s="1"/>
  <c r="U33" i="14"/>
  <c r="K33" i="14" s="1"/>
  <c r="A34" i="14"/>
  <c r="A203" i="14" s="1"/>
  <c r="L34" i="14"/>
  <c r="Q34" i="14"/>
  <c r="J34" i="14" s="1"/>
  <c r="U34" i="14"/>
  <c r="K34" i="14" s="1"/>
  <c r="A35" i="14"/>
  <c r="A204" i="14" s="1"/>
  <c r="L35" i="14"/>
  <c r="Q35" i="14"/>
  <c r="J35" i="14" s="1"/>
  <c r="U35" i="14"/>
  <c r="K35" i="14" s="1"/>
  <c r="A36" i="14"/>
  <c r="A205" i="14" s="1"/>
  <c r="L36" i="14"/>
  <c r="Q36" i="14"/>
  <c r="J36" i="14" s="1"/>
  <c r="U36" i="14"/>
  <c r="K36" i="14" s="1"/>
  <c r="A37" i="14"/>
  <c r="A206" i="14" s="1"/>
  <c r="L37" i="14"/>
  <c r="Q37" i="14"/>
  <c r="J37" i="14" s="1"/>
  <c r="U37" i="14"/>
  <c r="K37" i="14" s="1"/>
  <c r="A38" i="14"/>
  <c r="A207" i="14" s="1"/>
  <c r="L38" i="14"/>
  <c r="Q38" i="14"/>
  <c r="J38" i="14" s="1"/>
  <c r="U38" i="14"/>
  <c r="K38" i="14" s="1"/>
  <c r="C39" i="14"/>
  <c r="C9" i="13" s="1"/>
  <c r="D39" i="14"/>
  <c r="D9" i="13" s="1"/>
  <c r="E39" i="14"/>
  <c r="F39" i="14"/>
  <c r="F9" i="13" s="1"/>
  <c r="G39" i="14"/>
  <c r="H39" i="14"/>
  <c r="H9" i="13" s="1"/>
  <c r="I39" i="14"/>
  <c r="I9" i="13" s="1"/>
  <c r="N39" i="14"/>
  <c r="O39" i="14"/>
  <c r="P39" i="14"/>
  <c r="R39" i="14"/>
  <c r="S39" i="14"/>
  <c r="T39" i="14"/>
  <c r="V39" i="14"/>
  <c r="W39" i="14"/>
  <c r="X39" i="14"/>
  <c r="A40" i="14"/>
  <c r="L40" i="14"/>
  <c r="Q40" i="14"/>
  <c r="U40" i="14"/>
  <c r="K40" i="14" s="1"/>
  <c r="A41" i="14"/>
  <c r="L41" i="14"/>
  <c r="Q41" i="14"/>
  <c r="J41" i="14" s="1"/>
  <c r="U41" i="14"/>
  <c r="K41" i="14" s="1"/>
  <c r="A42" i="14"/>
  <c r="L42" i="14"/>
  <c r="Q42" i="14"/>
  <c r="J42" i="14" s="1"/>
  <c r="U42" i="14"/>
  <c r="K42" i="14" s="1"/>
  <c r="A43" i="14"/>
  <c r="L43" i="14"/>
  <c r="Q43" i="14"/>
  <c r="J43" i="14" s="1"/>
  <c r="U43" i="14"/>
  <c r="K43" i="14" s="1"/>
  <c r="A44" i="14"/>
  <c r="A213" i="14" s="1"/>
  <c r="L44" i="14"/>
  <c r="Q44" i="14"/>
  <c r="J44" i="14" s="1"/>
  <c r="U44" i="14"/>
  <c r="K44" i="14" s="1"/>
  <c r="A45" i="14"/>
  <c r="A214" i="14" s="1"/>
  <c r="L45" i="14"/>
  <c r="Q45" i="14"/>
  <c r="J45" i="14" s="1"/>
  <c r="U45" i="14"/>
  <c r="K45" i="14" s="1"/>
  <c r="A46" i="14"/>
  <c r="A215" i="14" s="1"/>
  <c r="L46" i="14"/>
  <c r="Q46" i="14"/>
  <c r="J46" i="14" s="1"/>
  <c r="U46" i="14"/>
  <c r="K46" i="14" s="1"/>
  <c r="A47" i="14"/>
  <c r="A216" i="14" s="1"/>
  <c r="L47" i="14"/>
  <c r="Q47" i="14"/>
  <c r="J47" i="14" s="1"/>
  <c r="U47" i="14"/>
  <c r="K47" i="14" s="1"/>
  <c r="A48" i="14"/>
  <c r="A217" i="14" s="1"/>
  <c r="L48" i="14"/>
  <c r="Q48" i="14"/>
  <c r="J48" i="14" s="1"/>
  <c r="U48" i="14"/>
  <c r="K48" i="14" s="1"/>
  <c r="A49" i="14"/>
  <c r="A218" i="14" s="1"/>
  <c r="L49" i="14"/>
  <c r="Q49" i="14"/>
  <c r="J49" i="14" s="1"/>
  <c r="U49" i="14"/>
  <c r="K49" i="14" s="1"/>
  <c r="C50" i="14"/>
  <c r="C10" i="13" s="1"/>
  <c r="D50" i="14"/>
  <c r="D10" i="13" s="1"/>
  <c r="E50" i="14"/>
  <c r="E10" i="13" s="1"/>
  <c r="F50" i="14"/>
  <c r="F10" i="13" s="1"/>
  <c r="G50" i="14"/>
  <c r="G10" i="13" s="1"/>
  <c r="H50" i="14"/>
  <c r="I50" i="14"/>
  <c r="I10" i="13" s="1"/>
  <c r="N50" i="14"/>
  <c r="O50" i="14"/>
  <c r="P50" i="14"/>
  <c r="R50" i="14"/>
  <c r="S50" i="14"/>
  <c r="T50" i="14"/>
  <c r="V50" i="14"/>
  <c r="W50" i="14"/>
  <c r="X50" i="14"/>
  <c r="A51" i="14"/>
  <c r="L51" i="14"/>
  <c r="Q51" i="14"/>
  <c r="U51" i="14"/>
  <c r="K51" i="14" s="1"/>
  <c r="A52" i="14"/>
  <c r="L52" i="14"/>
  <c r="Q52" i="14"/>
  <c r="J52" i="14" s="1"/>
  <c r="U52" i="14"/>
  <c r="K52" i="14" s="1"/>
  <c r="A53" i="14"/>
  <c r="L53" i="14"/>
  <c r="Q53" i="14"/>
  <c r="J53" i="14" s="1"/>
  <c r="U53" i="14"/>
  <c r="K53" i="14" s="1"/>
  <c r="A54" i="14"/>
  <c r="L54" i="14"/>
  <c r="Q54" i="14"/>
  <c r="J54" i="14" s="1"/>
  <c r="U54" i="14"/>
  <c r="K54" i="14" s="1"/>
  <c r="A55" i="14"/>
  <c r="L55" i="14"/>
  <c r="Q55" i="14"/>
  <c r="J55" i="14" s="1"/>
  <c r="U55" i="14"/>
  <c r="K55" i="14" s="1"/>
  <c r="A56" i="14"/>
  <c r="L56" i="14"/>
  <c r="Q56" i="14"/>
  <c r="J56" i="14" s="1"/>
  <c r="U56" i="14"/>
  <c r="K56" i="14" s="1"/>
  <c r="A57" i="14"/>
  <c r="L57" i="14"/>
  <c r="Q57" i="14"/>
  <c r="J57" i="14" s="1"/>
  <c r="U57" i="14"/>
  <c r="K57" i="14" s="1"/>
  <c r="A58" i="14"/>
  <c r="L58" i="14"/>
  <c r="Q58" i="14"/>
  <c r="J58" i="14" s="1"/>
  <c r="U58" i="14"/>
  <c r="K58" i="14" s="1"/>
  <c r="A59" i="14"/>
  <c r="L59" i="14"/>
  <c r="Q59" i="14"/>
  <c r="J59" i="14" s="1"/>
  <c r="U59" i="14"/>
  <c r="K59" i="14" s="1"/>
  <c r="A60" i="14"/>
  <c r="L60" i="14"/>
  <c r="Q60" i="14"/>
  <c r="J60" i="14" s="1"/>
  <c r="U60" i="14"/>
  <c r="K60" i="14" s="1"/>
  <c r="C61" i="14"/>
  <c r="C11" i="13" s="1"/>
  <c r="D61" i="14"/>
  <c r="D11" i="13" s="1"/>
  <c r="E61" i="14"/>
  <c r="E11" i="13" s="1"/>
  <c r="F61" i="14"/>
  <c r="F11" i="13" s="1"/>
  <c r="G61" i="14"/>
  <c r="G11" i="13" s="1"/>
  <c r="H61" i="14"/>
  <c r="H11" i="13" s="1"/>
  <c r="I61" i="14"/>
  <c r="I11" i="13" s="1"/>
  <c r="N61" i="14"/>
  <c r="O61" i="14"/>
  <c r="P61" i="14"/>
  <c r="R61" i="14"/>
  <c r="S61" i="14"/>
  <c r="T61" i="14"/>
  <c r="V61" i="14"/>
  <c r="W61" i="14"/>
  <c r="X61" i="14"/>
  <c r="A62" i="14"/>
  <c r="L62" i="14"/>
  <c r="Q62" i="14"/>
  <c r="J62" i="14" s="1"/>
  <c r="U62" i="14"/>
  <c r="K62" i="14" s="1"/>
  <c r="A63" i="14"/>
  <c r="A331" i="14" s="1"/>
  <c r="L63" i="14"/>
  <c r="Q63" i="14"/>
  <c r="J63" i="14" s="1"/>
  <c r="U63" i="14"/>
  <c r="K63" i="14" s="1"/>
  <c r="A64" i="14"/>
  <c r="A332" i="14" s="1"/>
  <c r="L64" i="14"/>
  <c r="Q64" i="14"/>
  <c r="J64" i="14" s="1"/>
  <c r="U64" i="14"/>
  <c r="K64" i="14" s="1"/>
  <c r="A65" i="14"/>
  <c r="A333" i="14" s="1"/>
  <c r="L65" i="14"/>
  <c r="Q65" i="14"/>
  <c r="J65" i="14" s="1"/>
  <c r="U65" i="14"/>
  <c r="A66" i="14"/>
  <c r="A334" i="14" s="1"/>
  <c r="L66" i="14"/>
  <c r="Q66" i="14"/>
  <c r="J66" i="14" s="1"/>
  <c r="U66" i="14"/>
  <c r="K66" i="14" s="1"/>
  <c r="A67" i="14"/>
  <c r="A335" i="14" s="1"/>
  <c r="L67" i="14"/>
  <c r="Q67" i="14"/>
  <c r="U67" i="14"/>
  <c r="K67" i="14" s="1"/>
  <c r="A68" i="14"/>
  <c r="A336" i="14" s="1"/>
  <c r="L68" i="14"/>
  <c r="Q68" i="14"/>
  <c r="J68" i="14" s="1"/>
  <c r="U68" i="14"/>
  <c r="K68" i="14" s="1"/>
  <c r="A69" i="14"/>
  <c r="A337" i="14" s="1"/>
  <c r="L69" i="14"/>
  <c r="Q69" i="14"/>
  <c r="J69" i="14" s="1"/>
  <c r="U69" i="14"/>
  <c r="K69" i="14" s="1"/>
  <c r="A70" i="14"/>
  <c r="A338" i="14" s="1"/>
  <c r="L70" i="14"/>
  <c r="Q70" i="14"/>
  <c r="J70" i="14" s="1"/>
  <c r="U70" i="14"/>
  <c r="K70" i="14" s="1"/>
  <c r="A71" i="14"/>
  <c r="A339" i="14" s="1"/>
  <c r="L71" i="14"/>
  <c r="Q71" i="14"/>
  <c r="J71" i="14" s="1"/>
  <c r="U71" i="14"/>
  <c r="K71" i="14" s="1"/>
  <c r="C72" i="14"/>
  <c r="C12" i="13" s="1"/>
  <c r="D72" i="14"/>
  <c r="D12" i="13" s="1"/>
  <c r="E72" i="14"/>
  <c r="E12" i="13" s="1"/>
  <c r="F72" i="14"/>
  <c r="F12" i="13" s="1"/>
  <c r="G72" i="14"/>
  <c r="G12" i="13" s="1"/>
  <c r="H72" i="14"/>
  <c r="H12" i="13" s="1"/>
  <c r="I72" i="14"/>
  <c r="I12" i="13" s="1"/>
  <c r="N72" i="14"/>
  <c r="O72" i="14"/>
  <c r="P72" i="14"/>
  <c r="R72" i="14"/>
  <c r="S72" i="14"/>
  <c r="T72" i="14"/>
  <c r="V72" i="14"/>
  <c r="W72" i="14"/>
  <c r="X72" i="14"/>
  <c r="A73" i="14"/>
  <c r="A341" i="14" s="1"/>
  <c r="L73" i="14"/>
  <c r="Q73" i="14"/>
  <c r="J73" i="14" s="1"/>
  <c r="U73" i="14"/>
  <c r="K73" i="14" s="1"/>
  <c r="A74" i="14"/>
  <c r="A342" i="14" s="1"/>
  <c r="L74" i="14"/>
  <c r="Q74" i="14"/>
  <c r="U74" i="14"/>
  <c r="K74" i="14" s="1"/>
  <c r="A75" i="14"/>
  <c r="A343" i="14" s="1"/>
  <c r="L75" i="14"/>
  <c r="Q75" i="14"/>
  <c r="J75" i="14" s="1"/>
  <c r="U75" i="14"/>
  <c r="K75" i="14" s="1"/>
  <c r="A76" i="14"/>
  <c r="A344" i="14" s="1"/>
  <c r="L76" i="14"/>
  <c r="Q76" i="14"/>
  <c r="J76" i="14" s="1"/>
  <c r="U76" i="14"/>
  <c r="K76" i="14" s="1"/>
  <c r="A77" i="14"/>
  <c r="A345" i="14" s="1"/>
  <c r="L77" i="14"/>
  <c r="Q77" i="14"/>
  <c r="J77" i="14" s="1"/>
  <c r="U77" i="14"/>
  <c r="K77" i="14" s="1"/>
  <c r="A78" i="14"/>
  <c r="A346" i="14" s="1"/>
  <c r="L78" i="14"/>
  <c r="Q78" i="14"/>
  <c r="J78" i="14" s="1"/>
  <c r="U78" i="14"/>
  <c r="A79" i="14"/>
  <c r="A347" i="14" s="1"/>
  <c r="L79" i="14"/>
  <c r="Q79" i="14"/>
  <c r="J79" i="14" s="1"/>
  <c r="U79" i="14"/>
  <c r="K79" i="14" s="1"/>
  <c r="A80" i="14"/>
  <c r="A348" i="14" s="1"/>
  <c r="L80" i="14"/>
  <c r="Q80" i="14"/>
  <c r="J80" i="14" s="1"/>
  <c r="U80" i="14"/>
  <c r="K80" i="14" s="1"/>
  <c r="A81" i="14"/>
  <c r="A349" i="14" s="1"/>
  <c r="L81" i="14"/>
  <c r="Q81" i="14"/>
  <c r="J81" i="14" s="1"/>
  <c r="U81" i="14"/>
  <c r="K81" i="14" s="1"/>
  <c r="A82" i="14"/>
  <c r="A350" i="14" s="1"/>
  <c r="L82" i="14"/>
  <c r="Q82" i="14"/>
  <c r="J82" i="14" s="1"/>
  <c r="U82" i="14"/>
  <c r="K82" i="14" s="1"/>
  <c r="C83" i="14"/>
  <c r="C13" i="13" s="1"/>
  <c r="D83" i="14"/>
  <c r="D13" i="13" s="1"/>
  <c r="E83" i="14"/>
  <c r="E13" i="13" s="1"/>
  <c r="F83" i="14"/>
  <c r="F13" i="13" s="1"/>
  <c r="G83" i="14"/>
  <c r="G13" i="13" s="1"/>
  <c r="H83" i="14"/>
  <c r="H13" i="13" s="1"/>
  <c r="I83" i="14"/>
  <c r="I13" i="13" s="1"/>
  <c r="N83" i="14"/>
  <c r="O83" i="14"/>
  <c r="P83" i="14"/>
  <c r="R83" i="14"/>
  <c r="S83" i="14"/>
  <c r="T83" i="14"/>
  <c r="V83" i="14"/>
  <c r="W83" i="14"/>
  <c r="X83" i="14"/>
  <c r="A84" i="14"/>
  <c r="L84" i="14"/>
  <c r="Q84" i="14"/>
  <c r="J84" i="14" s="1"/>
  <c r="U84" i="14"/>
  <c r="K84" i="14" s="1"/>
  <c r="A85" i="14"/>
  <c r="A353" i="14" s="1"/>
  <c r="L85" i="14"/>
  <c r="Q85" i="14"/>
  <c r="J85" i="14" s="1"/>
  <c r="U85" i="14"/>
  <c r="K85" i="14" s="1"/>
  <c r="A86" i="14"/>
  <c r="A354" i="14" s="1"/>
  <c r="L86" i="14"/>
  <c r="Q86" i="14"/>
  <c r="J86" i="14" s="1"/>
  <c r="U86" i="14"/>
  <c r="A87" i="14"/>
  <c r="A355" i="14" s="1"/>
  <c r="L87" i="14"/>
  <c r="Q87" i="14"/>
  <c r="J87" i="14" s="1"/>
  <c r="U87" i="14"/>
  <c r="A88" i="14"/>
  <c r="A356" i="14" s="1"/>
  <c r="L88" i="14"/>
  <c r="Q88" i="14"/>
  <c r="J88" i="14" s="1"/>
  <c r="U88" i="14"/>
  <c r="K88" i="14" s="1"/>
  <c r="A89" i="14"/>
  <c r="A357" i="14" s="1"/>
  <c r="L89" i="14"/>
  <c r="Q89" i="14"/>
  <c r="J89" i="14" s="1"/>
  <c r="U89" i="14"/>
  <c r="K89" i="14" s="1"/>
  <c r="A90" i="14"/>
  <c r="A358" i="14" s="1"/>
  <c r="L90" i="14"/>
  <c r="Q90" i="14"/>
  <c r="U90" i="14"/>
  <c r="K90" i="14" s="1"/>
  <c r="A91" i="14"/>
  <c r="A359" i="14" s="1"/>
  <c r="L91" i="14"/>
  <c r="Q91" i="14"/>
  <c r="J91" i="14" s="1"/>
  <c r="U91" i="14"/>
  <c r="K91" i="14" s="1"/>
  <c r="A92" i="14"/>
  <c r="A360" i="14" s="1"/>
  <c r="L92" i="14"/>
  <c r="Q92" i="14"/>
  <c r="J92" i="14" s="1"/>
  <c r="U92" i="14"/>
  <c r="K92" i="14" s="1"/>
  <c r="A93" i="14"/>
  <c r="A361" i="14" s="1"/>
  <c r="L93" i="14"/>
  <c r="Q93" i="14"/>
  <c r="J93" i="14" s="1"/>
  <c r="U93" i="14"/>
  <c r="K93" i="14" s="1"/>
  <c r="C94" i="14"/>
  <c r="C14" i="13" s="1"/>
  <c r="D94" i="14"/>
  <c r="D14" i="13" s="1"/>
  <c r="E94" i="14"/>
  <c r="E14" i="13" s="1"/>
  <c r="F94" i="14"/>
  <c r="F14" i="13" s="1"/>
  <c r="G94" i="14"/>
  <c r="G14" i="13" s="1"/>
  <c r="H94" i="14"/>
  <c r="H14" i="13" s="1"/>
  <c r="I94" i="14"/>
  <c r="I14" i="13" s="1"/>
  <c r="N94" i="14"/>
  <c r="O94" i="14"/>
  <c r="P94" i="14"/>
  <c r="R94" i="14"/>
  <c r="S94" i="14"/>
  <c r="T94" i="14"/>
  <c r="V94" i="14"/>
  <c r="W94" i="14"/>
  <c r="X94" i="14"/>
  <c r="A95" i="14"/>
  <c r="A363" i="14" s="1"/>
  <c r="L95" i="14"/>
  <c r="Q95" i="14"/>
  <c r="J95" i="14" s="1"/>
  <c r="U95" i="14"/>
  <c r="K95" i="14" s="1"/>
  <c r="A96" i="14"/>
  <c r="A364" i="14" s="1"/>
  <c r="L96" i="14"/>
  <c r="Q96" i="14"/>
  <c r="J96" i="14" s="1"/>
  <c r="U96" i="14"/>
  <c r="K96" i="14" s="1"/>
  <c r="A97" i="14"/>
  <c r="A365" i="14" s="1"/>
  <c r="L97" i="14"/>
  <c r="Q97" i="14"/>
  <c r="J97" i="14" s="1"/>
  <c r="U97" i="14"/>
  <c r="K97" i="14" s="1"/>
  <c r="A98" i="14"/>
  <c r="A366" i="14" s="1"/>
  <c r="L98" i="14"/>
  <c r="Q98" i="14"/>
  <c r="U98" i="14"/>
  <c r="K98" i="14" s="1"/>
  <c r="A99" i="14"/>
  <c r="A367" i="14" s="1"/>
  <c r="L99" i="14"/>
  <c r="Q99" i="14"/>
  <c r="J99" i="14" s="1"/>
  <c r="U99" i="14"/>
  <c r="K99" i="14" s="1"/>
  <c r="A100" i="14"/>
  <c r="A368" i="14" s="1"/>
  <c r="L100" i="14"/>
  <c r="Q100" i="14"/>
  <c r="J100" i="14" s="1"/>
  <c r="U100" i="14"/>
  <c r="K100" i="14" s="1"/>
  <c r="A101" i="14"/>
  <c r="A369" i="14" s="1"/>
  <c r="L101" i="14"/>
  <c r="Q101" i="14"/>
  <c r="J101" i="14" s="1"/>
  <c r="U101" i="14"/>
  <c r="K101" i="14" s="1"/>
  <c r="A102" i="14"/>
  <c r="A370" i="14" s="1"/>
  <c r="L102" i="14"/>
  <c r="Q102" i="14"/>
  <c r="J102" i="14" s="1"/>
  <c r="U102" i="14"/>
  <c r="K102" i="14" s="1"/>
  <c r="A103" i="14"/>
  <c r="A371" i="14" s="1"/>
  <c r="L103" i="14"/>
  <c r="Q103" i="14"/>
  <c r="J103" i="14" s="1"/>
  <c r="U103" i="14"/>
  <c r="K103" i="14" s="1"/>
  <c r="A104" i="14"/>
  <c r="A372" i="14" s="1"/>
  <c r="L104" i="14"/>
  <c r="Q104" i="14"/>
  <c r="J104" i="14" s="1"/>
  <c r="U104" i="14"/>
  <c r="K104" i="14" s="1"/>
  <c r="C105" i="14"/>
  <c r="C15" i="13" s="1"/>
  <c r="D105" i="14"/>
  <c r="D15" i="13" s="1"/>
  <c r="E105" i="14"/>
  <c r="E15" i="13" s="1"/>
  <c r="F105" i="14"/>
  <c r="F15" i="13" s="1"/>
  <c r="G105" i="14"/>
  <c r="G15" i="13" s="1"/>
  <c r="H105" i="14"/>
  <c r="H15" i="13" s="1"/>
  <c r="I105" i="14"/>
  <c r="I15" i="13" s="1"/>
  <c r="N105" i="14"/>
  <c r="O105" i="14"/>
  <c r="P105" i="14"/>
  <c r="R105" i="14"/>
  <c r="S105" i="14"/>
  <c r="T105" i="14"/>
  <c r="V105" i="14"/>
  <c r="W105" i="14"/>
  <c r="X105" i="14"/>
  <c r="A106" i="14"/>
  <c r="A374" i="14" s="1"/>
  <c r="L106" i="14"/>
  <c r="Q106" i="14"/>
  <c r="U106" i="14"/>
  <c r="A107" i="14"/>
  <c r="A375" i="14" s="1"/>
  <c r="L107" i="14"/>
  <c r="Q107" i="14"/>
  <c r="J107" i="14" s="1"/>
  <c r="U107" i="14"/>
  <c r="K107" i="14" s="1"/>
  <c r="A108" i="14"/>
  <c r="A376" i="14" s="1"/>
  <c r="L108" i="14"/>
  <c r="Q108" i="14"/>
  <c r="J108" i="14" s="1"/>
  <c r="U108" i="14"/>
  <c r="K108" i="14" s="1"/>
  <c r="A109" i="14"/>
  <c r="A377" i="14" s="1"/>
  <c r="L109" i="14"/>
  <c r="Q109" i="14"/>
  <c r="J109" i="14" s="1"/>
  <c r="U109" i="14"/>
  <c r="K109" i="14" s="1"/>
  <c r="A110" i="14"/>
  <c r="A378" i="14" s="1"/>
  <c r="L110" i="14"/>
  <c r="Q110" i="14"/>
  <c r="J110" i="14" s="1"/>
  <c r="U110" i="14"/>
  <c r="A111" i="14"/>
  <c r="A379" i="14" s="1"/>
  <c r="L111" i="14"/>
  <c r="Q111" i="14"/>
  <c r="J111" i="14" s="1"/>
  <c r="U111" i="14"/>
  <c r="K111" i="14" s="1"/>
  <c r="A112" i="14"/>
  <c r="A380" i="14" s="1"/>
  <c r="L112" i="14"/>
  <c r="Q112" i="14"/>
  <c r="J112" i="14" s="1"/>
  <c r="U112" i="14"/>
  <c r="K112" i="14" s="1"/>
  <c r="A113" i="14"/>
  <c r="A381" i="14" s="1"/>
  <c r="L113" i="14"/>
  <c r="Q113" i="14"/>
  <c r="J113" i="14" s="1"/>
  <c r="U113" i="14"/>
  <c r="K113" i="14" s="1"/>
  <c r="A114" i="14"/>
  <c r="A382" i="14" s="1"/>
  <c r="L114" i="14"/>
  <c r="Q114" i="14"/>
  <c r="J114" i="14" s="1"/>
  <c r="U114" i="14"/>
  <c r="K114" i="14" s="1"/>
  <c r="A115" i="14"/>
  <c r="A383" i="14" s="1"/>
  <c r="L115" i="14"/>
  <c r="L15" i="10" s="1"/>
  <c r="Q115" i="14"/>
  <c r="J115" i="14" s="1"/>
  <c r="U115" i="14"/>
  <c r="K115" i="14" s="1"/>
  <c r="C116" i="14"/>
  <c r="C16" i="13" s="1"/>
  <c r="D116" i="14"/>
  <c r="D16" i="13" s="1"/>
  <c r="E116" i="14"/>
  <c r="E16" i="13" s="1"/>
  <c r="F116" i="14"/>
  <c r="F16" i="13" s="1"/>
  <c r="G116" i="14"/>
  <c r="G16" i="13" s="1"/>
  <c r="H116" i="14"/>
  <c r="H16" i="13" s="1"/>
  <c r="I116" i="14"/>
  <c r="I16" i="13" s="1"/>
  <c r="N116" i="14"/>
  <c r="O116" i="14"/>
  <c r="P116" i="14"/>
  <c r="R116" i="14"/>
  <c r="S116" i="14"/>
  <c r="T116" i="14"/>
  <c r="V116" i="14"/>
  <c r="W116" i="14"/>
  <c r="X116" i="14"/>
  <c r="A117" i="14"/>
  <c r="A385" i="14" s="1"/>
  <c r="L117" i="14"/>
  <c r="Q117" i="14"/>
  <c r="J117" i="14" s="1"/>
  <c r="U117" i="14"/>
  <c r="K117" i="14" s="1"/>
  <c r="A118" i="14"/>
  <c r="A386" i="14" s="1"/>
  <c r="L118" i="14"/>
  <c r="Q118" i="14"/>
  <c r="J118" i="14" s="1"/>
  <c r="U118" i="14"/>
  <c r="K118" i="14" s="1"/>
  <c r="A119" i="14"/>
  <c r="A387" i="14" s="1"/>
  <c r="L119" i="14"/>
  <c r="Q119" i="14"/>
  <c r="J119" i="14" s="1"/>
  <c r="U119" i="14"/>
  <c r="A120" i="14"/>
  <c r="A388" i="14" s="1"/>
  <c r="L120" i="14"/>
  <c r="Q120" i="14"/>
  <c r="J120" i="14" s="1"/>
  <c r="U120" i="14"/>
  <c r="A121" i="14"/>
  <c r="A389" i="14" s="1"/>
  <c r="L121" i="14"/>
  <c r="Q121" i="14"/>
  <c r="J121" i="14" s="1"/>
  <c r="U121" i="14"/>
  <c r="K121" i="14" s="1"/>
  <c r="A122" i="14"/>
  <c r="A390" i="14" s="1"/>
  <c r="L122" i="14"/>
  <c r="Q122" i="14"/>
  <c r="U122" i="14"/>
  <c r="K122" i="14" s="1"/>
  <c r="A123" i="14"/>
  <c r="A391" i="14" s="1"/>
  <c r="L123" i="14"/>
  <c r="Q123" i="14"/>
  <c r="J123" i="14" s="1"/>
  <c r="U123" i="14"/>
  <c r="K123" i="14" s="1"/>
  <c r="A124" i="14"/>
  <c r="A392" i="14" s="1"/>
  <c r="L124" i="14"/>
  <c r="Q124" i="14"/>
  <c r="J124" i="14" s="1"/>
  <c r="U124" i="14"/>
  <c r="K124" i="14" s="1"/>
  <c r="A125" i="14"/>
  <c r="A393" i="14" s="1"/>
  <c r="L125" i="14"/>
  <c r="Q125" i="14"/>
  <c r="J125" i="14" s="1"/>
  <c r="U125" i="14"/>
  <c r="K125" i="14" s="1"/>
  <c r="A126" i="14"/>
  <c r="A394" i="14" s="1"/>
  <c r="L126" i="14"/>
  <c r="L16" i="10" s="1"/>
  <c r="Q126" i="14"/>
  <c r="J126" i="14" s="1"/>
  <c r="U126" i="14"/>
  <c r="K126" i="14" s="1"/>
  <c r="C127" i="14"/>
  <c r="C17" i="13" s="1"/>
  <c r="D127" i="14"/>
  <c r="D17" i="13" s="1"/>
  <c r="E127" i="14"/>
  <c r="E17" i="13" s="1"/>
  <c r="F127" i="14"/>
  <c r="F17" i="13" s="1"/>
  <c r="G127" i="14"/>
  <c r="G17" i="13" s="1"/>
  <c r="H127" i="14"/>
  <c r="H17" i="13" s="1"/>
  <c r="I127" i="14"/>
  <c r="I17" i="13" s="1"/>
  <c r="N127" i="14"/>
  <c r="O127" i="14"/>
  <c r="P127" i="14"/>
  <c r="R127" i="14"/>
  <c r="S127" i="14"/>
  <c r="T127" i="14"/>
  <c r="V127" i="14"/>
  <c r="W127" i="14"/>
  <c r="X127" i="14"/>
  <c r="A128" i="14"/>
  <c r="L128" i="14"/>
  <c r="Q128" i="14"/>
  <c r="J128" i="14" s="1"/>
  <c r="U128" i="14"/>
  <c r="K128" i="14" s="1"/>
  <c r="A129" i="14"/>
  <c r="L129" i="14"/>
  <c r="Q129" i="14"/>
  <c r="J129" i="14" s="1"/>
  <c r="U129" i="14"/>
  <c r="K129" i="14" s="1"/>
  <c r="A130" i="14"/>
  <c r="L130" i="14"/>
  <c r="Q130" i="14"/>
  <c r="J130" i="14" s="1"/>
  <c r="U130" i="14"/>
  <c r="K130" i="14" s="1"/>
  <c r="A131" i="14"/>
  <c r="L131" i="14"/>
  <c r="Q131" i="14"/>
  <c r="J131" i="14" s="1"/>
  <c r="U131" i="14"/>
  <c r="K131" i="14" s="1"/>
  <c r="A132" i="14"/>
  <c r="A398" i="14" s="1"/>
  <c r="L132" i="14"/>
  <c r="Q132" i="14"/>
  <c r="J132" i="14" s="1"/>
  <c r="U132" i="14"/>
  <c r="K132" i="14" s="1"/>
  <c r="A133" i="14"/>
  <c r="A399" i="14" s="1"/>
  <c r="L133" i="14"/>
  <c r="Q133" i="14"/>
  <c r="J133" i="14" s="1"/>
  <c r="U133" i="14"/>
  <c r="K133" i="14" s="1"/>
  <c r="A134" i="14"/>
  <c r="A400" i="14" s="1"/>
  <c r="L134" i="14"/>
  <c r="Q134" i="14"/>
  <c r="J134" i="14" s="1"/>
  <c r="U134" i="14"/>
  <c r="K134" i="14" s="1"/>
  <c r="A135" i="14"/>
  <c r="A401" i="14" s="1"/>
  <c r="L135" i="14"/>
  <c r="Q135" i="14"/>
  <c r="J135" i="14" s="1"/>
  <c r="U135" i="14"/>
  <c r="K135" i="14" s="1"/>
  <c r="A136" i="14"/>
  <c r="A402" i="14" s="1"/>
  <c r="L136" i="14"/>
  <c r="Q136" i="14"/>
  <c r="U136" i="14"/>
  <c r="K136" i="14" s="1"/>
  <c r="A137" i="14"/>
  <c r="A403" i="14" s="1"/>
  <c r="L137" i="14"/>
  <c r="L17" i="10" s="1"/>
  <c r="Q137" i="14"/>
  <c r="J137" i="14" s="1"/>
  <c r="U137" i="14"/>
  <c r="K137" i="14" s="1"/>
  <c r="C138" i="14"/>
  <c r="C18" i="13" s="1"/>
  <c r="D138" i="14"/>
  <c r="D18" i="13" s="1"/>
  <c r="E138" i="14"/>
  <c r="E18" i="13" s="1"/>
  <c r="F138" i="14"/>
  <c r="F18" i="13" s="1"/>
  <c r="G138" i="14"/>
  <c r="G18" i="13" s="1"/>
  <c r="H138" i="14"/>
  <c r="H18" i="13" s="1"/>
  <c r="I138" i="14"/>
  <c r="I18" i="13" s="1"/>
  <c r="N138" i="14"/>
  <c r="O138" i="14"/>
  <c r="P138" i="14"/>
  <c r="R138" i="14"/>
  <c r="S138" i="14"/>
  <c r="T138" i="14"/>
  <c r="V138" i="14"/>
  <c r="W138" i="14"/>
  <c r="X138" i="14"/>
  <c r="A139" i="14"/>
  <c r="A405" i="14" s="1"/>
  <c r="L139" i="14"/>
  <c r="Q139" i="14"/>
  <c r="J139" i="14" s="1"/>
  <c r="U139" i="14"/>
  <c r="K139" i="14" s="1"/>
  <c r="A140" i="14"/>
  <c r="A406" i="14" s="1"/>
  <c r="L140" i="14"/>
  <c r="Q140" i="14"/>
  <c r="J140" i="14" s="1"/>
  <c r="U140" i="14"/>
  <c r="K140" i="14" s="1"/>
  <c r="A141" i="14"/>
  <c r="A407" i="14" s="1"/>
  <c r="L141" i="14"/>
  <c r="Q141" i="14"/>
  <c r="J141" i="14" s="1"/>
  <c r="U141" i="14"/>
  <c r="K141" i="14" s="1"/>
  <c r="A142" i="14"/>
  <c r="A408" i="14" s="1"/>
  <c r="L142" i="14"/>
  <c r="Q142" i="14"/>
  <c r="J142" i="14" s="1"/>
  <c r="U142" i="14"/>
  <c r="K142" i="14" s="1"/>
  <c r="A143" i="14"/>
  <c r="A409" i="14" s="1"/>
  <c r="L143" i="14"/>
  <c r="Q143" i="14"/>
  <c r="J143" i="14" s="1"/>
  <c r="U143" i="14"/>
  <c r="K143" i="14" s="1"/>
  <c r="A144" i="14"/>
  <c r="A410" i="14" s="1"/>
  <c r="L144" i="14"/>
  <c r="Q144" i="14"/>
  <c r="J144" i="14" s="1"/>
  <c r="U144" i="14"/>
  <c r="K144" i="14" s="1"/>
  <c r="A145" i="14"/>
  <c r="A411" i="14" s="1"/>
  <c r="L145" i="14"/>
  <c r="Q145" i="14"/>
  <c r="J145" i="14" s="1"/>
  <c r="U145" i="14"/>
  <c r="K145" i="14" s="1"/>
  <c r="A146" i="14"/>
  <c r="A412" i="14" s="1"/>
  <c r="L146" i="14"/>
  <c r="Q146" i="14"/>
  <c r="J146" i="14" s="1"/>
  <c r="U146" i="14"/>
  <c r="K146" i="14" s="1"/>
  <c r="A147" i="14"/>
  <c r="A413" i="14" s="1"/>
  <c r="L147" i="14"/>
  <c r="Q147" i="14"/>
  <c r="J147" i="14" s="1"/>
  <c r="U147" i="14"/>
  <c r="K147" i="14" s="1"/>
  <c r="A148" i="14"/>
  <c r="A414" i="14" s="1"/>
  <c r="L148" i="14"/>
  <c r="L18" i="10" s="1"/>
  <c r="Q148" i="14"/>
  <c r="J148" i="14" s="1"/>
  <c r="U148" i="14"/>
  <c r="K148" i="14" s="1"/>
  <c r="C149" i="14"/>
  <c r="C19" i="13" s="1"/>
  <c r="D149" i="14"/>
  <c r="D19" i="13" s="1"/>
  <c r="E149" i="14"/>
  <c r="E19" i="13" s="1"/>
  <c r="F149" i="14"/>
  <c r="F19" i="13" s="1"/>
  <c r="G149" i="14"/>
  <c r="G19" i="13" s="1"/>
  <c r="H149" i="14"/>
  <c r="H19" i="13" s="1"/>
  <c r="I149" i="14"/>
  <c r="I19" i="13" s="1"/>
  <c r="N149" i="14"/>
  <c r="O149" i="14"/>
  <c r="P149" i="14"/>
  <c r="R149" i="14"/>
  <c r="S149" i="14"/>
  <c r="T149" i="14"/>
  <c r="V149" i="14"/>
  <c r="W149" i="14"/>
  <c r="X149" i="14"/>
  <c r="A150" i="14"/>
  <c r="L150" i="14"/>
  <c r="Q150" i="14"/>
  <c r="J150" i="14" s="1"/>
  <c r="U150" i="14"/>
  <c r="K150" i="14" s="1"/>
  <c r="A151" i="14"/>
  <c r="A417" i="14" s="1"/>
  <c r="L151" i="14"/>
  <c r="Q151" i="14"/>
  <c r="J151" i="14" s="1"/>
  <c r="U151" i="14"/>
  <c r="K151" i="14" s="1"/>
  <c r="A152" i="14"/>
  <c r="A418" i="14" s="1"/>
  <c r="L152" i="14"/>
  <c r="Q152" i="14"/>
  <c r="J152" i="14" s="1"/>
  <c r="U152" i="14"/>
  <c r="K152" i="14" s="1"/>
  <c r="A153" i="14"/>
  <c r="A419" i="14" s="1"/>
  <c r="L153" i="14"/>
  <c r="Q153" i="14"/>
  <c r="J153" i="14" s="1"/>
  <c r="U153" i="14"/>
  <c r="K153" i="14" s="1"/>
  <c r="A154" i="14"/>
  <c r="A420" i="14" s="1"/>
  <c r="L154" i="14"/>
  <c r="Q154" i="14"/>
  <c r="U154" i="14"/>
  <c r="K154" i="14" s="1"/>
  <c r="A155" i="14"/>
  <c r="A421" i="14" s="1"/>
  <c r="L155" i="14"/>
  <c r="Q155" i="14"/>
  <c r="J155" i="14" s="1"/>
  <c r="U155" i="14"/>
  <c r="K155" i="14" s="1"/>
  <c r="A156" i="14"/>
  <c r="A422" i="14" s="1"/>
  <c r="L156" i="14"/>
  <c r="Q156" i="14"/>
  <c r="J156" i="14" s="1"/>
  <c r="U156" i="14"/>
  <c r="K156" i="14" s="1"/>
  <c r="A157" i="14"/>
  <c r="A423" i="14" s="1"/>
  <c r="L157" i="14"/>
  <c r="Q157" i="14"/>
  <c r="J157" i="14" s="1"/>
  <c r="U157" i="14"/>
  <c r="K157" i="14" s="1"/>
  <c r="A158" i="14"/>
  <c r="A424" i="14" s="1"/>
  <c r="L158" i="14"/>
  <c r="Q158" i="14"/>
  <c r="J158" i="14" s="1"/>
  <c r="U158" i="14"/>
  <c r="K158" i="14" s="1"/>
  <c r="A159" i="14"/>
  <c r="A425" i="14" s="1"/>
  <c r="L159" i="14"/>
  <c r="Q159" i="14"/>
  <c r="J159" i="14" s="1"/>
  <c r="U159" i="14"/>
  <c r="K159" i="14" s="1"/>
  <c r="C160" i="14"/>
  <c r="C20" i="13" s="1"/>
  <c r="D160" i="14"/>
  <c r="D20" i="13" s="1"/>
  <c r="E160" i="14"/>
  <c r="E20" i="13" s="1"/>
  <c r="F160" i="14"/>
  <c r="F20" i="13" s="1"/>
  <c r="G160" i="14"/>
  <c r="G20" i="13" s="1"/>
  <c r="H160" i="14"/>
  <c r="H20" i="13" s="1"/>
  <c r="I160" i="14"/>
  <c r="I20" i="13" s="1"/>
  <c r="N160" i="14"/>
  <c r="O160" i="14"/>
  <c r="P160" i="14"/>
  <c r="R160" i="14"/>
  <c r="S160" i="14"/>
  <c r="T160" i="14"/>
  <c r="V160" i="14"/>
  <c r="W160" i="14"/>
  <c r="X160" i="14"/>
  <c r="A161" i="14"/>
  <c r="A427" i="14" s="1"/>
  <c r="L161" i="14"/>
  <c r="Q161" i="14"/>
  <c r="J161" i="14" s="1"/>
  <c r="U161" i="14"/>
  <c r="A162" i="14"/>
  <c r="A428" i="14" s="1"/>
  <c r="L162" i="14"/>
  <c r="Q162" i="14"/>
  <c r="J162" i="14" s="1"/>
  <c r="U162" i="14"/>
  <c r="K162" i="14" s="1"/>
  <c r="A163" i="14"/>
  <c r="A429" i="14" s="1"/>
  <c r="L163" i="14"/>
  <c r="Q163" i="14"/>
  <c r="U163" i="14"/>
  <c r="K163" i="14" s="1"/>
  <c r="A164" i="14"/>
  <c r="A430" i="14" s="1"/>
  <c r="L164" i="14"/>
  <c r="Q164" i="14"/>
  <c r="U164" i="14"/>
  <c r="K164" i="14" s="1"/>
  <c r="A165" i="14"/>
  <c r="A431" i="14" s="1"/>
  <c r="L165" i="14"/>
  <c r="Q165" i="14"/>
  <c r="J165" i="14" s="1"/>
  <c r="U165" i="14"/>
  <c r="K165" i="14" s="1"/>
  <c r="A166" i="14"/>
  <c r="A432" i="14" s="1"/>
  <c r="L166" i="14"/>
  <c r="Q166" i="14"/>
  <c r="J166" i="14" s="1"/>
  <c r="U166" i="14"/>
  <c r="K166" i="14" s="1"/>
  <c r="A167" i="14"/>
  <c r="A433" i="14" s="1"/>
  <c r="L167" i="14"/>
  <c r="Q167" i="14"/>
  <c r="J167" i="14" s="1"/>
  <c r="U167" i="14"/>
  <c r="K167" i="14" s="1"/>
  <c r="A168" i="14"/>
  <c r="A434" i="14" s="1"/>
  <c r="L168" i="14"/>
  <c r="Q168" i="14"/>
  <c r="J168" i="14" s="1"/>
  <c r="U168" i="14"/>
  <c r="K168" i="14" s="1"/>
  <c r="A169" i="14"/>
  <c r="A435" i="14" s="1"/>
  <c r="L169" i="14"/>
  <c r="Q169" i="14"/>
  <c r="J169" i="14" s="1"/>
  <c r="U169" i="14"/>
  <c r="K169" i="14" s="1"/>
  <c r="A170" i="14"/>
  <c r="A436" i="14" s="1"/>
  <c r="L170" i="14"/>
  <c r="Q170" i="14"/>
  <c r="J170" i="14" s="1"/>
  <c r="U170" i="14"/>
  <c r="K170" i="14" s="1"/>
  <c r="C175" i="14"/>
  <c r="C24" i="13" s="1"/>
  <c r="D175" i="14"/>
  <c r="D24" i="13" s="1"/>
  <c r="E175" i="14"/>
  <c r="E24" i="13" s="1"/>
  <c r="F175" i="14"/>
  <c r="G175" i="14"/>
  <c r="G24" i="13" s="1"/>
  <c r="H175" i="14"/>
  <c r="H24" i="13" s="1"/>
  <c r="I175" i="14"/>
  <c r="I24" i="13" s="1"/>
  <c r="J175" i="14"/>
  <c r="K175" i="14"/>
  <c r="K24" i="13" s="1"/>
  <c r="P23" i="49" s="1"/>
  <c r="L175" i="14"/>
  <c r="L24" i="13" s="1"/>
  <c r="Q23" i="49" s="1"/>
  <c r="C186" i="14"/>
  <c r="C25" i="13" s="1"/>
  <c r="D186" i="14"/>
  <c r="D25" i="13" s="1"/>
  <c r="E186" i="14"/>
  <c r="E25" i="13" s="1"/>
  <c r="F186" i="14"/>
  <c r="F25" i="13" s="1"/>
  <c r="G186" i="14"/>
  <c r="G25" i="13" s="1"/>
  <c r="H186" i="14"/>
  <c r="H25" i="13" s="1"/>
  <c r="I186" i="14"/>
  <c r="I25" i="13" s="1"/>
  <c r="J186" i="14"/>
  <c r="J25" i="13" s="1"/>
  <c r="O24" i="49" s="1"/>
  <c r="N24" i="49" s="1"/>
  <c r="K186" i="14"/>
  <c r="K25" i="13" s="1"/>
  <c r="P24" i="49" s="1"/>
  <c r="L186" i="14"/>
  <c r="L25" i="13" s="1"/>
  <c r="Q24" i="49" s="1"/>
  <c r="C197" i="14"/>
  <c r="C26" i="13" s="1"/>
  <c r="D197" i="14"/>
  <c r="E197" i="14"/>
  <c r="E26" i="13" s="1"/>
  <c r="F197" i="14"/>
  <c r="F26" i="13" s="1"/>
  <c r="G197" i="14"/>
  <c r="G26" i="13" s="1"/>
  <c r="H197" i="14"/>
  <c r="I197" i="14"/>
  <c r="I26" i="13" s="1"/>
  <c r="J197" i="14"/>
  <c r="J26" i="13" s="1"/>
  <c r="O25" i="49" s="1"/>
  <c r="N25" i="49" s="1"/>
  <c r="K197" i="14"/>
  <c r="K26" i="13" s="1"/>
  <c r="P25" i="49" s="1"/>
  <c r="L197" i="14"/>
  <c r="L26" i="13" s="1"/>
  <c r="Q25" i="49" s="1"/>
  <c r="C208" i="14"/>
  <c r="C27" i="13" s="1"/>
  <c r="D208" i="14"/>
  <c r="D27" i="13" s="1"/>
  <c r="E208" i="14"/>
  <c r="F208" i="14"/>
  <c r="F27" i="13" s="1"/>
  <c r="G208" i="14"/>
  <c r="H208" i="14"/>
  <c r="H27" i="13" s="1"/>
  <c r="I208" i="14"/>
  <c r="J208" i="14"/>
  <c r="J27" i="13" s="1"/>
  <c r="O26" i="49" s="1"/>
  <c r="N26" i="49" s="1"/>
  <c r="K208" i="14"/>
  <c r="K27" i="13" s="1"/>
  <c r="P26" i="49" s="1"/>
  <c r="L208" i="14"/>
  <c r="L27" i="13" s="1"/>
  <c r="Q26" i="49" s="1"/>
  <c r="C219" i="14"/>
  <c r="C28" i="13" s="1"/>
  <c r="D219" i="14"/>
  <c r="D28" i="13" s="1"/>
  <c r="E28" i="13"/>
  <c r="F219" i="14"/>
  <c r="F28" i="13" s="1"/>
  <c r="G219" i="14"/>
  <c r="G28" i="13" s="1"/>
  <c r="H219" i="14"/>
  <c r="H28" i="13" s="1"/>
  <c r="I219" i="14"/>
  <c r="C329" i="14"/>
  <c r="C29" i="13" s="1"/>
  <c r="D329" i="14"/>
  <c r="D29" i="13" s="1"/>
  <c r="E329" i="14"/>
  <c r="E29" i="13" s="1"/>
  <c r="F329" i="14"/>
  <c r="F29" i="13" s="1"/>
  <c r="G329" i="14"/>
  <c r="H329" i="14"/>
  <c r="H29" i="13" s="1"/>
  <c r="I329" i="14"/>
  <c r="I29" i="13" s="1"/>
  <c r="J329" i="14"/>
  <c r="C340" i="14"/>
  <c r="C30" i="13" s="1"/>
  <c r="D340" i="14"/>
  <c r="D30" i="13" s="1"/>
  <c r="E340" i="14"/>
  <c r="E30" i="13" s="1"/>
  <c r="F340" i="14"/>
  <c r="F30" i="13" s="1"/>
  <c r="G340" i="14"/>
  <c r="G30" i="13" s="1"/>
  <c r="H340" i="14"/>
  <c r="H30" i="13" s="1"/>
  <c r="I340" i="14"/>
  <c r="I30" i="13" s="1"/>
  <c r="J340" i="14"/>
  <c r="J30" i="13" s="1"/>
  <c r="O29" i="49" s="1"/>
  <c r="N29" i="49" s="1"/>
  <c r="K340" i="14"/>
  <c r="K30" i="13" s="1"/>
  <c r="P29" i="49" s="1"/>
  <c r="L340" i="14"/>
  <c r="L30" i="13" s="1"/>
  <c r="Q29" i="49" s="1"/>
  <c r="C351" i="14"/>
  <c r="C31" i="13" s="1"/>
  <c r="D351" i="14"/>
  <c r="D31" i="13" s="1"/>
  <c r="E351" i="14"/>
  <c r="E31" i="13" s="1"/>
  <c r="F351" i="14"/>
  <c r="F31" i="13" s="1"/>
  <c r="G351" i="14"/>
  <c r="G31" i="13" s="1"/>
  <c r="H351" i="14"/>
  <c r="H31" i="13" s="1"/>
  <c r="I351" i="14"/>
  <c r="I31" i="13" s="1"/>
  <c r="J351" i="14"/>
  <c r="J31" i="13" s="1"/>
  <c r="O30" i="49" s="1"/>
  <c r="G30" i="49" s="1"/>
  <c r="G38" i="49" s="1"/>
  <c r="G39" i="49" s="1"/>
  <c r="C362" i="14"/>
  <c r="C32" i="13" s="1"/>
  <c r="D362" i="14"/>
  <c r="D32" i="13" s="1"/>
  <c r="E362" i="14"/>
  <c r="E32" i="13" s="1"/>
  <c r="F362" i="14"/>
  <c r="F32" i="13" s="1"/>
  <c r="G362" i="14"/>
  <c r="G32" i="13" s="1"/>
  <c r="H362" i="14"/>
  <c r="H32" i="13" s="1"/>
  <c r="I362" i="14"/>
  <c r="I32" i="13" s="1"/>
  <c r="J362" i="14"/>
  <c r="J32" i="13" s="1"/>
  <c r="O31" i="49" s="1"/>
  <c r="N31" i="49" s="1"/>
  <c r="K362" i="14"/>
  <c r="K32" i="13" s="1"/>
  <c r="P31" i="49" s="1"/>
  <c r="L362" i="14"/>
  <c r="L32" i="13" s="1"/>
  <c r="Q31" i="49" s="1"/>
  <c r="C373" i="14"/>
  <c r="C33" i="13" s="1"/>
  <c r="D373" i="14"/>
  <c r="D33" i="13" s="1"/>
  <c r="E373" i="14"/>
  <c r="E33" i="13" s="1"/>
  <c r="F373" i="14"/>
  <c r="F33" i="13" s="1"/>
  <c r="G373" i="14"/>
  <c r="G33" i="13" s="1"/>
  <c r="H373" i="14"/>
  <c r="H33" i="13" s="1"/>
  <c r="I373" i="14"/>
  <c r="I33" i="13" s="1"/>
  <c r="J373" i="14"/>
  <c r="J33" i="13" s="1"/>
  <c r="O32" i="49" s="1"/>
  <c r="N32" i="49" s="1"/>
  <c r="K373" i="14"/>
  <c r="K33" i="13" s="1"/>
  <c r="P32" i="49" s="1"/>
  <c r="L373" i="14"/>
  <c r="L33" i="13" s="1"/>
  <c r="Q32" i="49" s="1"/>
  <c r="C384" i="14"/>
  <c r="C34" i="13" s="1"/>
  <c r="D384" i="14"/>
  <c r="D34" i="13" s="1"/>
  <c r="E384" i="14"/>
  <c r="E34" i="13" s="1"/>
  <c r="F384" i="14"/>
  <c r="F34" i="13" s="1"/>
  <c r="G384" i="14"/>
  <c r="G34" i="13" s="1"/>
  <c r="H384" i="14"/>
  <c r="H34" i="13" s="1"/>
  <c r="I384" i="14"/>
  <c r="I34" i="13" s="1"/>
  <c r="J384" i="14"/>
  <c r="J34" i="13" s="1"/>
  <c r="O33" i="49" s="1"/>
  <c r="N33" i="49" s="1"/>
  <c r="K384" i="14"/>
  <c r="K34" i="13" s="1"/>
  <c r="P33" i="49" s="1"/>
  <c r="L384" i="14"/>
  <c r="L34" i="13" s="1"/>
  <c r="Q33" i="49" s="1"/>
  <c r="C395" i="14"/>
  <c r="C35" i="13" s="1"/>
  <c r="D395" i="14"/>
  <c r="D35" i="13" s="1"/>
  <c r="E395" i="14"/>
  <c r="E35" i="13" s="1"/>
  <c r="F395" i="14"/>
  <c r="F35" i="13" s="1"/>
  <c r="G395" i="14"/>
  <c r="G35" i="13" s="1"/>
  <c r="H395" i="14"/>
  <c r="H35" i="13" s="1"/>
  <c r="I395" i="14"/>
  <c r="I35" i="13" s="1"/>
  <c r="J395" i="14"/>
  <c r="J35" i="13" s="1"/>
  <c r="O34" i="49" s="1"/>
  <c r="N34" i="49" s="1"/>
  <c r="K395" i="14"/>
  <c r="K35" i="13" s="1"/>
  <c r="P34" i="49" s="1"/>
  <c r="L395" i="14"/>
  <c r="L35" i="13" s="1"/>
  <c r="Q34" i="49" s="1"/>
  <c r="C404" i="14"/>
  <c r="C36" i="13" s="1"/>
  <c r="D404" i="14"/>
  <c r="D36" i="13" s="1"/>
  <c r="E404" i="14"/>
  <c r="E36" i="13" s="1"/>
  <c r="F404" i="14"/>
  <c r="F36" i="13" s="1"/>
  <c r="G404" i="14"/>
  <c r="G36" i="13" s="1"/>
  <c r="H404" i="14"/>
  <c r="H36" i="13" s="1"/>
  <c r="I404" i="14"/>
  <c r="I36" i="13" s="1"/>
  <c r="J404" i="14"/>
  <c r="J36" i="13" s="1"/>
  <c r="O35" i="49" s="1"/>
  <c r="N35" i="49" s="1"/>
  <c r="K404" i="14"/>
  <c r="K36" i="13" s="1"/>
  <c r="P35" i="49" s="1"/>
  <c r="L404" i="14"/>
  <c r="L36" i="13" s="1"/>
  <c r="Q35" i="49" s="1"/>
  <c r="C415" i="14"/>
  <c r="C37" i="13" s="1"/>
  <c r="D415" i="14"/>
  <c r="D37" i="13" s="1"/>
  <c r="E415" i="14"/>
  <c r="E37" i="13" s="1"/>
  <c r="F415" i="14"/>
  <c r="F37" i="13" s="1"/>
  <c r="G415" i="14"/>
  <c r="G37" i="13" s="1"/>
  <c r="H415" i="14"/>
  <c r="H37" i="13" s="1"/>
  <c r="I415" i="14"/>
  <c r="I37" i="13" s="1"/>
  <c r="J415" i="14"/>
  <c r="J37" i="13" s="1"/>
  <c r="O36" i="49" s="1"/>
  <c r="N36" i="49" s="1"/>
  <c r="K415" i="14"/>
  <c r="K37" i="13" s="1"/>
  <c r="P36" i="49" s="1"/>
  <c r="L415" i="14"/>
  <c r="L37" i="13" s="1"/>
  <c r="Q36" i="49" s="1"/>
  <c r="C426" i="14"/>
  <c r="C38" i="13" s="1"/>
  <c r="D426" i="14"/>
  <c r="D38" i="13" s="1"/>
  <c r="E426" i="14"/>
  <c r="E38" i="13" s="1"/>
  <c r="F426" i="14"/>
  <c r="F38" i="13" s="1"/>
  <c r="G426" i="14"/>
  <c r="G38" i="13" s="1"/>
  <c r="H426" i="14"/>
  <c r="H38" i="13" s="1"/>
  <c r="I426" i="14"/>
  <c r="I38" i="13" s="1"/>
  <c r="J426" i="14"/>
  <c r="J38" i="13" s="1"/>
  <c r="O37" i="49" s="1"/>
  <c r="N37" i="49" s="1"/>
  <c r="K426" i="14"/>
  <c r="K38" i="13" s="1"/>
  <c r="P37" i="49" s="1"/>
  <c r="L426" i="14"/>
  <c r="L38" i="13" s="1"/>
  <c r="Q37" i="49" s="1"/>
  <c r="A2" i="13"/>
  <c r="B2" i="13"/>
  <c r="C3" i="13"/>
  <c r="D3" i="13"/>
  <c r="E3" i="13"/>
  <c r="F3" i="13"/>
  <c r="G3" i="13"/>
  <c r="H3" i="13"/>
  <c r="I3" i="13"/>
  <c r="C43" i="13"/>
  <c r="D43" i="13"/>
  <c r="D63" i="13" s="1"/>
  <c r="E43" i="13"/>
  <c r="F43" i="13"/>
  <c r="F63" i="13" s="1"/>
  <c r="G43" i="13"/>
  <c r="H43" i="13"/>
  <c r="I43" i="13"/>
  <c r="J43" i="13"/>
  <c r="O5" i="50" s="1"/>
  <c r="N5" i="50" s="1"/>
  <c r="K43" i="13"/>
  <c r="P5" i="50" s="1"/>
  <c r="L43" i="13"/>
  <c r="Q5" i="50" s="1"/>
  <c r="C47" i="13"/>
  <c r="D47" i="13"/>
  <c r="E47" i="13"/>
  <c r="F47" i="13"/>
  <c r="G47" i="13"/>
  <c r="H47" i="13"/>
  <c r="I47" i="13"/>
  <c r="J47" i="13"/>
  <c r="O9" i="50" s="1"/>
  <c r="N9" i="50" s="1"/>
  <c r="K47" i="13"/>
  <c r="P9" i="50" s="1"/>
  <c r="L47" i="13"/>
  <c r="Q9" i="50" s="1"/>
  <c r="C53" i="13"/>
  <c r="D53" i="13"/>
  <c r="E53" i="13"/>
  <c r="F53" i="13"/>
  <c r="H53" i="13"/>
  <c r="C57" i="13"/>
  <c r="D57" i="13"/>
  <c r="E57" i="13"/>
  <c r="F57" i="13"/>
  <c r="G57" i="13"/>
  <c r="H57" i="13"/>
  <c r="I57" i="13"/>
  <c r="J57" i="13"/>
  <c r="O19" i="50" s="1"/>
  <c r="N19" i="50" s="1"/>
  <c r="K57" i="13"/>
  <c r="P19" i="50" s="1"/>
  <c r="L57" i="13"/>
  <c r="Q19" i="50" s="1"/>
  <c r="C63" i="13"/>
  <c r="C85" i="13" s="1"/>
  <c r="E63" i="13"/>
  <c r="H63" i="13"/>
  <c r="C70" i="13"/>
  <c r="D70" i="13"/>
  <c r="D74" i="13" s="1"/>
  <c r="E70" i="13"/>
  <c r="E74" i="13" s="1"/>
  <c r="F70" i="13"/>
  <c r="F74" i="13" s="1"/>
  <c r="G70" i="13"/>
  <c r="H70" i="13"/>
  <c r="H74" i="13" s="1"/>
  <c r="I70" i="13"/>
  <c r="J70" i="13"/>
  <c r="J74" i="13" s="1"/>
  <c r="K70" i="13"/>
  <c r="L70" i="13"/>
  <c r="C74" i="13"/>
  <c r="G74" i="13"/>
  <c r="I74" i="13"/>
  <c r="K74" i="13"/>
  <c r="L74" i="13"/>
  <c r="A75" i="13"/>
  <c r="A2" i="12"/>
  <c r="B2" i="12"/>
  <c r="M2" i="12"/>
  <c r="C3" i="12"/>
  <c r="D3" i="12"/>
  <c r="E3" i="12"/>
  <c r="F3" i="12"/>
  <c r="G3" i="12"/>
  <c r="H3" i="12"/>
  <c r="I3" i="12"/>
  <c r="G5" i="12"/>
  <c r="F5" i="7" s="1"/>
  <c r="H7" i="12"/>
  <c r="F8" i="12"/>
  <c r="G47" i="29" s="1"/>
  <c r="G9" i="12"/>
  <c r="H48" i="29" s="1"/>
  <c r="G10" i="12"/>
  <c r="H49" i="29" s="1"/>
  <c r="P15" i="46"/>
  <c r="Q15" i="46"/>
  <c r="E20" i="12"/>
  <c r="I20" i="12"/>
  <c r="H9" i="7" s="1"/>
  <c r="M22" i="12"/>
  <c r="N22" i="12"/>
  <c r="N38" i="12" s="1"/>
  <c r="O22" i="12"/>
  <c r="P22" i="12"/>
  <c r="P38" i="12" s="1"/>
  <c r="Q22" i="12"/>
  <c r="R22" i="12"/>
  <c r="R38" i="12" s="1"/>
  <c r="S22" i="12"/>
  <c r="T22" i="12"/>
  <c r="T38" i="12" s="1"/>
  <c r="U22" i="12"/>
  <c r="V22" i="12"/>
  <c r="V38" i="12" s="1"/>
  <c r="W22" i="12"/>
  <c r="X22" i="12"/>
  <c r="X38" i="12" s="1"/>
  <c r="G34" i="12"/>
  <c r="M36" i="12"/>
  <c r="N36" i="12"/>
  <c r="O36" i="12"/>
  <c r="P36" i="12"/>
  <c r="Q36" i="12"/>
  <c r="R36" i="12"/>
  <c r="S36" i="12"/>
  <c r="T36" i="12"/>
  <c r="U36" i="12"/>
  <c r="V36" i="12"/>
  <c r="W36" i="12"/>
  <c r="X36" i="12"/>
  <c r="M38" i="12"/>
  <c r="O38" i="12"/>
  <c r="Q38" i="12"/>
  <c r="S38" i="12"/>
  <c r="U38" i="12"/>
  <c r="W38" i="12"/>
  <c r="C40" i="12"/>
  <c r="B21" i="7" s="1"/>
  <c r="E40" i="12"/>
  <c r="D21" i="7" s="1"/>
  <c r="G40" i="12"/>
  <c r="F21" i="7" s="1"/>
  <c r="I40" i="12"/>
  <c r="H21" i="7" s="1"/>
  <c r="K40" i="12"/>
  <c r="P40" i="46" s="1"/>
  <c r="A48" i="12"/>
  <c r="M48" i="12"/>
  <c r="N48" i="12"/>
  <c r="O48" i="12"/>
  <c r="P48" i="12"/>
  <c r="Q48" i="12"/>
  <c r="R48" i="12"/>
  <c r="S48" i="12"/>
  <c r="T48" i="12"/>
  <c r="U48" i="12"/>
  <c r="V48" i="12"/>
  <c r="W48" i="12"/>
  <c r="X48" i="12"/>
  <c r="A49" i="12"/>
  <c r="A2" i="11"/>
  <c r="B2" i="11"/>
  <c r="L2" i="11"/>
  <c r="C3" i="11"/>
  <c r="D3" i="11"/>
  <c r="E3" i="11"/>
  <c r="F3" i="11"/>
  <c r="G3" i="11"/>
  <c r="H3" i="11"/>
  <c r="C5" i="11"/>
  <c r="D5" i="11"/>
  <c r="D5" i="10" s="1"/>
  <c r="E5" i="11"/>
  <c r="E5" i="10" s="1"/>
  <c r="F5" i="11"/>
  <c r="F153" i="11" s="1"/>
  <c r="G5" i="11"/>
  <c r="H5" i="11"/>
  <c r="H5" i="10" s="1"/>
  <c r="I5" i="11"/>
  <c r="J5" i="11"/>
  <c r="J5" i="10" s="1"/>
  <c r="P5" i="47" s="1"/>
  <c r="K5" i="11"/>
  <c r="A7" i="11"/>
  <c r="A8" i="11"/>
  <c r="A9" i="11"/>
  <c r="A10" i="11"/>
  <c r="A11" i="11"/>
  <c r="A12" i="11"/>
  <c r="A13" i="11"/>
  <c r="A14" i="11"/>
  <c r="A15" i="11"/>
  <c r="A216" i="11" s="1"/>
  <c r="C16" i="11"/>
  <c r="C6" i="10" s="1"/>
  <c r="D16" i="11"/>
  <c r="D6" i="10" s="1"/>
  <c r="E16" i="11"/>
  <c r="E6" i="10" s="1"/>
  <c r="F16" i="11"/>
  <c r="G16" i="11"/>
  <c r="G6" i="10"/>
  <c r="H16" i="11"/>
  <c r="I16" i="11"/>
  <c r="I6" i="10" s="1"/>
  <c r="J16" i="11"/>
  <c r="K16" i="11"/>
  <c r="K6" i="10" s="1"/>
  <c r="Q6" i="47" s="1"/>
  <c r="A17" i="11"/>
  <c r="A18" i="11"/>
  <c r="A19" i="11"/>
  <c r="A20" i="11"/>
  <c r="A21" i="11"/>
  <c r="A22" i="11"/>
  <c r="A23" i="11"/>
  <c r="A24" i="11"/>
  <c r="A249" i="11"/>
  <c r="A25" i="11"/>
  <c r="A250" i="11"/>
  <c r="A26" i="11"/>
  <c r="A251" i="11"/>
  <c r="C27" i="11"/>
  <c r="C7" i="10" s="1"/>
  <c r="D27" i="11"/>
  <c r="E27" i="11"/>
  <c r="E7" i="10"/>
  <c r="F27" i="11"/>
  <c r="G27" i="11"/>
  <c r="G7" i="10" s="1"/>
  <c r="H27" i="11"/>
  <c r="I27" i="11"/>
  <c r="I7" i="10" s="1"/>
  <c r="O7" i="47" s="1"/>
  <c r="N7" i="47" s="1"/>
  <c r="J27" i="11"/>
  <c r="J7" i="10" s="1"/>
  <c r="P7" i="47" s="1"/>
  <c r="K27" i="11"/>
  <c r="A28" i="11"/>
  <c r="A29" i="11"/>
  <c r="A30" i="11"/>
  <c r="A31" i="11"/>
  <c r="A32" i="11"/>
  <c r="A33" i="11"/>
  <c r="A34" i="11"/>
  <c r="A35" i="11"/>
  <c r="A36" i="11"/>
  <c r="A37" i="11"/>
  <c r="A286" i="11" s="1"/>
  <c r="C38" i="11"/>
  <c r="C8" i="10" s="1"/>
  <c r="D38" i="11"/>
  <c r="F38" i="11"/>
  <c r="G38" i="11"/>
  <c r="G8" i="10" s="1"/>
  <c r="H39" i="11"/>
  <c r="H40" i="11"/>
  <c r="H41" i="11"/>
  <c r="H42" i="11"/>
  <c r="H43" i="11"/>
  <c r="H44" i="11"/>
  <c r="H45" i="11"/>
  <c r="H46" i="11"/>
  <c r="H47" i="11"/>
  <c r="E48" i="11"/>
  <c r="E38" i="11"/>
  <c r="E8" i="10" s="1"/>
  <c r="H48" i="11"/>
  <c r="H49" i="11"/>
  <c r="H50" i="11"/>
  <c r="H51" i="11"/>
  <c r="H52" i="11"/>
  <c r="H53" i="11"/>
  <c r="H54" i="11"/>
  <c r="H55" i="11"/>
  <c r="H56" i="11"/>
  <c r="A58" i="11"/>
  <c r="A347" i="11" s="1"/>
  <c r="A59" i="11"/>
  <c r="C60" i="11"/>
  <c r="D60" i="11"/>
  <c r="E60" i="11"/>
  <c r="F60" i="11"/>
  <c r="I60" i="11"/>
  <c r="I40" i="9" s="1"/>
  <c r="G61" i="11"/>
  <c r="H61" i="11" s="1"/>
  <c r="G62" i="11"/>
  <c r="G63" i="11"/>
  <c r="H63" i="11" s="1"/>
  <c r="G64" i="11"/>
  <c r="H64" i="11" s="1"/>
  <c r="H65" i="11"/>
  <c r="H66" i="11"/>
  <c r="A67" i="11"/>
  <c r="A373" i="11" s="1"/>
  <c r="A68" i="11"/>
  <c r="A374" i="11"/>
  <c r="C69" i="11"/>
  <c r="C10" i="10" s="1"/>
  <c r="D69" i="11"/>
  <c r="E69" i="11"/>
  <c r="E10" i="10"/>
  <c r="F69" i="11"/>
  <c r="G69" i="11"/>
  <c r="G10" i="10" s="1"/>
  <c r="H69" i="11"/>
  <c r="I69" i="11"/>
  <c r="I10" i="10" s="1"/>
  <c r="O10" i="47" s="1"/>
  <c r="N10" i="47" s="1"/>
  <c r="J69" i="11"/>
  <c r="K69" i="11"/>
  <c r="K10" i="10" s="1"/>
  <c r="Q10" i="47" s="1"/>
  <c r="A73" i="11"/>
  <c r="C74" i="11"/>
  <c r="D74" i="11"/>
  <c r="D11" i="10" s="1"/>
  <c r="E74" i="11"/>
  <c r="F74" i="11"/>
  <c r="F11" i="10" s="1"/>
  <c r="I74" i="11"/>
  <c r="I64" i="9" s="1"/>
  <c r="G75" i="11"/>
  <c r="H76" i="11"/>
  <c r="G77" i="11"/>
  <c r="H77" i="11" s="1"/>
  <c r="G78" i="11"/>
  <c r="H78" i="11" s="1"/>
  <c r="A79" i="11"/>
  <c r="A431" i="11" s="1"/>
  <c r="A80" i="11"/>
  <c r="A432" i="11" s="1"/>
  <c r="C81" i="11"/>
  <c r="C12" i="10"/>
  <c r="D81" i="11"/>
  <c r="E81" i="11"/>
  <c r="E12" i="10" s="1"/>
  <c r="F81" i="11"/>
  <c r="F12" i="10" s="1"/>
  <c r="G81" i="11"/>
  <c r="G12" i="10" s="1"/>
  <c r="H81" i="11"/>
  <c r="I81" i="11"/>
  <c r="I12" i="10" s="1"/>
  <c r="O12" i="47" s="1"/>
  <c r="N12" i="47" s="1"/>
  <c r="A83" i="11"/>
  <c r="A452" i="11" s="1"/>
  <c r="A84" i="11"/>
  <c r="A453" i="11" s="1"/>
  <c r="C85" i="11"/>
  <c r="D85" i="11"/>
  <c r="F85" i="11"/>
  <c r="F13" i="10" s="1"/>
  <c r="I85" i="11"/>
  <c r="I57" i="9" s="1"/>
  <c r="G86" i="11"/>
  <c r="G85" i="11" s="1"/>
  <c r="G13" i="10" s="1"/>
  <c r="G87" i="11"/>
  <c r="H87" i="11" s="1"/>
  <c r="G88" i="11"/>
  <c r="H88" i="11" s="1"/>
  <c r="E89" i="11"/>
  <c r="E85" i="11" s="1"/>
  <c r="H89" i="11"/>
  <c r="H90" i="11"/>
  <c r="G91" i="11"/>
  <c r="H91" i="11" s="1"/>
  <c r="G92" i="11"/>
  <c r="H92" i="11" s="1"/>
  <c r="G93" i="11"/>
  <c r="H93" i="11" s="1"/>
  <c r="H94" i="11"/>
  <c r="H97" i="11"/>
  <c r="A98" i="11"/>
  <c r="A495" i="11" s="1"/>
  <c r="A99" i="11"/>
  <c r="A496" i="11" s="1"/>
  <c r="C100" i="11"/>
  <c r="C14" i="10" s="1"/>
  <c r="D100" i="11"/>
  <c r="D14" i="10" s="1"/>
  <c r="E100" i="11"/>
  <c r="E14" i="10" s="1"/>
  <c r="F100" i="11"/>
  <c r="G100" i="11"/>
  <c r="G14" i="10" s="1"/>
  <c r="H100" i="11"/>
  <c r="I100" i="11"/>
  <c r="I14" i="10" s="1"/>
  <c r="O14" i="47" s="1"/>
  <c r="N14" i="47" s="1"/>
  <c r="J100" i="11"/>
  <c r="J14" i="10" s="1"/>
  <c r="P14" i="47" s="1"/>
  <c r="K100" i="11"/>
  <c r="A102" i="11"/>
  <c r="A525" i="11" s="1"/>
  <c r="A103" i="11"/>
  <c r="A526" i="11" s="1"/>
  <c r="C104" i="11"/>
  <c r="C15" i="10" s="1"/>
  <c r="D104" i="11"/>
  <c r="D15" i="10" s="1"/>
  <c r="E104" i="11"/>
  <c r="E15" i="10" s="1"/>
  <c r="F104" i="11"/>
  <c r="G105" i="11"/>
  <c r="G104" i="11" s="1"/>
  <c r="H106" i="11"/>
  <c r="H107" i="11"/>
  <c r="A108" i="11"/>
  <c r="A109" i="11"/>
  <c r="A110" i="11"/>
  <c r="A111" i="11"/>
  <c r="A112" i="11"/>
  <c r="A113" i="11"/>
  <c r="A114" i="11"/>
  <c r="C115" i="11"/>
  <c r="C16" i="10"/>
  <c r="D115" i="11"/>
  <c r="E115" i="11"/>
  <c r="E16" i="10" s="1"/>
  <c r="F115" i="11"/>
  <c r="G115" i="11"/>
  <c r="G16" i="10" s="1"/>
  <c r="H115" i="11"/>
  <c r="I115" i="11"/>
  <c r="I16" i="10" s="1"/>
  <c r="O16" i="47" s="1"/>
  <c r="N16" i="47" s="1"/>
  <c r="J115" i="11"/>
  <c r="J16" i="10" s="1"/>
  <c r="P16" i="47" s="1"/>
  <c r="K115" i="11"/>
  <c r="A117" i="11"/>
  <c r="A118" i="11"/>
  <c r="A589" i="11"/>
  <c r="A119" i="11"/>
  <c r="A590" i="11"/>
  <c r="C120" i="11"/>
  <c r="D120" i="11"/>
  <c r="D17" i="10" s="1"/>
  <c r="E120" i="11"/>
  <c r="F120" i="11"/>
  <c r="F17" i="10" s="1"/>
  <c r="I120" i="11"/>
  <c r="I23" i="9" s="1"/>
  <c r="G121" i="11"/>
  <c r="G122" i="11"/>
  <c r="H122" i="11" s="1"/>
  <c r="G123" i="11"/>
  <c r="H123" i="11" s="1"/>
  <c r="G124" i="11"/>
  <c r="H124" i="11" s="1"/>
  <c r="G125" i="11"/>
  <c r="H125" i="11" s="1"/>
  <c r="G126" i="11"/>
  <c r="H126" i="11" s="1"/>
  <c r="G127" i="11"/>
  <c r="H127" i="11" s="1"/>
  <c r="G128" i="11"/>
  <c r="H128" i="11" s="1"/>
  <c r="A132" i="11"/>
  <c r="A659" i="11" s="1"/>
  <c r="A133" i="11"/>
  <c r="A660" i="11" s="1"/>
  <c r="C134" i="11"/>
  <c r="D134" i="11"/>
  <c r="D18" i="10" s="1"/>
  <c r="E134" i="11"/>
  <c r="F134" i="11"/>
  <c r="F18" i="10" s="1"/>
  <c r="I134" i="11"/>
  <c r="I31" i="9" s="1"/>
  <c r="H135" i="11"/>
  <c r="J135" i="11"/>
  <c r="K135" i="11" s="1"/>
  <c r="H136" i="11"/>
  <c r="J136" i="11"/>
  <c r="K136" i="11" s="1"/>
  <c r="G137" i="11"/>
  <c r="H138" i="11"/>
  <c r="G139" i="11"/>
  <c r="H139" i="11" s="1"/>
  <c r="A141" i="11"/>
  <c r="A142" i="11"/>
  <c r="A690" i="11" s="1"/>
  <c r="C143" i="11"/>
  <c r="C19" i="10" s="1"/>
  <c r="D143" i="11"/>
  <c r="D19" i="10" s="1"/>
  <c r="E143" i="11"/>
  <c r="E19" i="10" s="1"/>
  <c r="F143" i="11"/>
  <c r="F19" i="10"/>
  <c r="I143" i="11"/>
  <c r="I19" i="10" s="1"/>
  <c r="O19" i="47" s="1"/>
  <c r="N19" i="47" s="1"/>
  <c r="J143" i="11"/>
  <c r="J19" i="10" s="1"/>
  <c r="P19" i="47" s="1"/>
  <c r="G144" i="11"/>
  <c r="H144" i="11"/>
  <c r="G145" i="11"/>
  <c r="H145" i="11"/>
  <c r="H146" i="11"/>
  <c r="G147" i="11"/>
  <c r="H147" i="11" s="1"/>
  <c r="G148" i="11"/>
  <c r="H148" i="11" s="1"/>
  <c r="H149" i="11"/>
  <c r="A151" i="11"/>
  <c r="A152" i="11"/>
  <c r="L153" i="11"/>
  <c r="M153" i="11"/>
  <c r="M709" i="11" s="1"/>
  <c r="N153" i="11"/>
  <c r="O153" i="11"/>
  <c r="P153" i="11"/>
  <c r="Q153" i="11"/>
  <c r="Q709" i="11" s="1"/>
  <c r="R153" i="11"/>
  <c r="S153" i="11"/>
  <c r="S709" i="11" s="1"/>
  <c r="T153" i="11"/>
  <c r="U153" i="11"/>
  <c r="V153" i="11"/>
  <c r="W153" i="11"/>
  <c r="C156" i="11"/>
  <c r="D156" i="11"/>
  <c r="D23" i="10" s="1"/>
  <c r="E156" i="11"/>
  <c r="F156" i="11"/>
  <c r="F23" i="10" s="1"/>
  <c r="I156" i="11"/>
  <c r="I76" i="9" s="1"/>
  <c r="H157" i="11"/>
  <c r="H158" i="11"/>
  <c r="H159" i="11"/>
  <c r="H160" i="11"/>
  <c r="H161" i="11"/>
  <c r="H162" i="11"/>
  <c r="H163" i="11"/>
  <c r="G164" i="11"/>
  <c r="H165" i="11"/>
  <c r="H166" i="11"/>
  <c r="H167" i="11"/>
  <c r="H168" i="11"/>
  <c r="H169" i="11"/>
  <c r="H170" i="11"/>
  <c r="G171" i="11"/>
  <c r="H171" i="11" s="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8" i="11"/>
  <c r="H199" i="11"/>
  <c r="H200" i="11"/>
  <c r="H201" i="11"/>
  <c r="H202" i="11"/>
  <c r="H203" i="11"/>
  <c r="H204" i="11"/>
  <c r="H205" i="11"/>
  <c r="H206" i="11"/>
  <c r="H207" i="11"/>
  <c r="H208" i="11"/>
  <c r="H209" i="11"/>
  <c r="H210" i="11"/>
  <c r="H211" i="11"/>
  <c r="G212" i="11"/>
  <c r="H212" i="11" s="1"/>
  <c r="H213" i="11"/>
  <c r="H214" i="11"/>
  <c r="C217" i="11"/>
  <c r="C24" i="10" s="1"/>
  <c r="D217" i="11"/>
  <c r="E217" i="11"/>
  <c r="E24" i="10" s="1"/>
  <c r="F217" i="11"/>
  <c r="F24" i="10" s="1"/>
  <c r="G218" i="11"/>
  <c r="H218" i="11" s="1"/>
  <c r="G219" i="11"/>
  <c r="H219" i="11" s="1"/>
  <c r="G220" i="11"/>
  <c r="H220" i="11" s="1"/>
  <c r="H221" i="11"/>
  <c r="H222" i="11"/>
  <c r="G223" i="11"/>
  <c r="H223" i="11" s="1"/>
  <c r="G224" i="11"/>
  <c r="H224" i="11" s="1"/>
  <c r="H225" i="11"/>
  <c r="H226" i="11"/>
  <c r="G227" i="11"/>
  <c r="H227" i="11" s="1"/>
  <c r="G228" i="11"/>
  <c r="H228" i="11" s="1"/>
  <c r="G229" i="11"/>
  <c r="H229" i="11" s="1"/>
  <c r="G230" i="11"/>
  <c r="H230" i="11" s="1"/>
  <c r="G231" i="11"/>
  <c r="H231" i="11" s="1"/>
  <c r="H232" i="11"/>
  <c r="H233" i="11"/>
  <c r="G234" i="11"/>
  <c r="H234" i="11" s="1"/>
  <c r="D25" i="21"/>
  <c r="H235" i="11"/>
  <c r="H236" i="11"/>
  <c r="H237" i="11"/>
  <c r="H238" i="11"/>
  <c r="H239" i="11"/>
  <c r="G240" i="11"/>
  <c r="H240" i="11" s="1"/>
  <c r="G241" i="11"/>
  <c r="H241" i="11" s="1"/>
  <c r="H242" i="11"/>
  <c r="G243" i="11"/>
  <c r="H243" i="11"/>
  <c r="H244" i="11"/>
  <c r="G245" i="11"/>
  <c r="H245" i="11" s="1"/>
  <c r="G246" i="11"/>
  <c r="H246" i="11" s="1"/>
  <c r="C252" i="11"/>
  <c r="D252" i="11"/>
  <c r="D25" i="10"/>
  <c r="E252" i="11"/>
  <c r="F252" i="11"/>
  <c r="F25" i="10" s="1"/>
  <c r="I252" i="11"/>
  <c r="I108" i="9" s="1"/>
  <c r="G253" i="11"/>
  <c r="G252" i="11" s="1"/>
  <c r="G25" i="10" s="1"/>
  <c r="G254" i="11"/>
  <c r="H254" i="11"/>
  <c r="H255" i="11"/>
  <c r="H256" i="11"/>
  <c r="H257" i="11"/>
  <c r="G258" i="11"/>
  <c r="H258" i="11" s="1"/>
  <c r="G259" i="11"/>
  <c r="H259" i="11" s="1"/>
  <c r="H260" i="11"/>
  <c r="G261" i="11"/>
  <c r="H261" i="11"/>
  <c r="G262" i="11"/>
  <c r="H262" i="11"/>
  <c r="H263" i="11"/>
  <c r="H264" i="11"/>
  <c r="H265" i="11"/>
  <c r="G266" i="11"/>
  <c r="H266" i="11" s="1"/>
  <c r="H267" i="11"/>
  <c r="H268" i="11"/>
  <c r="H269" i="11"/>
  <c r="G270" i="11"/>
  <c r="H270" i="11" s="1"/>
  <c r="H271" i="11"/>
  <c r="H272" i="11"/>
  <c r="H273" i="11"/>
  <c r="H274" i="11"/>
  <c r="H275" i="11"/>
  <c r="H276" i="11"/>
  <c r="H277" i="11"/>
  <c r="H278" i="11"/>
  <c r="G279" i="11"/>
  <c r="H279" i="11" s="1"/>
  <c r="H280" i="11"/>
  <c r="H281" i="11"/>
  <c r="H282" i="11"/>
  <c r="H283" i="11"/>
  <c r="A285" i="11"/>
  <c r="C287" i="11"/>
  <c r="E287" i="11"/>
  <c r="E26" i="10" s="1"/>
  <c r="F287" i="11"/>
  <c r="D288" i="11"/>
  <c r="H288" i="11"/>
  <c r="D289" i="11"/>
  <c r="H289" i="11"/>
  <c r="D290" i="11"/>
  <c r="H290" i="11"/>
  <c r="D291" i="11"/>
  <c r="G291" i="11"/>
  <c r="H291" i="11"/>
  <c r="D292" i="11"/>
  <c r="H292" i="11"/>
  <c r="D293" i="11"/>
  <c r="H293" i="11"/>
  <c r="D294" i="11"/>
  <c r="G294" i="11"/>
  <c r="H294" i="11" s="1"/>
  <c r="H295" i="11"/>
  <c r="D296" i="11"/>
  <c r="H296" i="11"/>
  <c r="D297" i="11"/>
  <c r="H297" i="11"/>
  <c r="H298" i="11"/>
  <c r="D299" i="11"/>
  <c r="H299" i="11"/>
  <c r="D300" i="11"/>
  <c r="H300" i="11"/>
  <c r="H301" i="11"/>
  <c r="I301" i="11" s="1"/>
  <c r="J301" i="11" s="1"/>
  <c r="K301" i="11" s="1"/>
  <c r="H302" i="11"/>
  <c r="I302" i="11" s="1"/>
  <c r="J302" i="11" s="1"/>
  <c r="K302" i="11" s="1"/>
  <c r="H303" i="11"/>
  <c r="I303" i="11" s="1"/>
  <c r="J303" i="11" s="1"/>
  <c r="K303" i="11" s="1"/>
  <c r="D304" i="11"/>
  <c r="H304" i="11"/>
  <c r="I304" i="11" s="1"/>
  <c r="H305" i="11"/>
  <c r="I305" i="11" s="1"/>
  <c r="J305" i="11" s="1"/>
  <c r="K305" i="11" s="1"/>
  <c r="D306" i="11"/>
  <c r="G306" i="11"/>
  <c r="H306" i="11" s="1"/>
  <c r="D307" i="11"/>
  <c r="G307" i="11"/>
  <c r="H307" i="11" s="1"/>
  <c r="H308" i="11"/>
  <c r="D309" i="11"/>
  <c r="H309" i="11"/>
  <c r="H310" i="11"/>
  <c r="I310" i="11"/>
  <c r="J310" i="11" s="1"/>
  <c r="K310" i="11" s="1"/>
  <c r="H311" i="11"/>
  <c r="I311" i="11"/>
  <c r="J311" i="11" s="1"/>
  <c r="K311" i="11" s="1"/>
  <c r="D312" i="11"/>
  <c r="H312" i="11"/>
  <c r="I312" i="11" s="1"/>
  <c r="J312" i="11" s="1"/>
  <c r="K312" i="11" s="1"/>
  <c r="H313" i="11"/>
  <c r="I313" i="11" s="1"/>
  <c r="J313" i="11" s="1"/>
  <c r="K313" i="11" s="1"/>
  <c r="D314" i="11"/>
  <c r="H314" i="11"/>
  <c r="I314" i="11"/>
  <c r="J314" i="11" s="1"/>
  <c r="K314" i="11" s="1"/>
  <c r="H315" i="11"/>
  <c r="D316" i="11"/>
  <c r="H316" i="11"/>
  <c r="H317" i="11"/>
  <c r="D318" i="11"/>
  <c r="H318" i="11"/>
  <c r="D319" i="11"/>
  <c r="H319" i="11"/>
  <c r="H320" i="11"/>
  <c r="H321" i="11"/>
  <c r="D322" i="11"/>
  <c r="H322" i="11"/>
  <c r="D323" i="11"/>
  <c r="G323" i="11"/>
  <c r="H323" i="11" s="1"/>
  <c r="D324" i="11"/>
  <c r="H324" i="11"/>
  <c r="H325" i="11"/>
  <c r="D326" i="11"/>
  <c r="H326" i="11"/>
  <c r="H327" i="11"/>
  <c r="D328" i="11"/>
  <c r="H328" i="11"/>
  <c r="H329" i="11"/>
  <c r="H330" i="11"/>
  <c r="D331" i="11"/>
  <c r="H331" i="11"/>
  <c r="D332" i="11"/>
  <c r="G332" i="11"/>
  <c r="H332" i="11" s="1"/>
  <c r="D333" i="11"/>
  <c r="H333" i="11"/>
  <c r="D334" i="11"/>
  <c r="H334" i="11"/>
  <c r="D335" i="11"/>
  <c r="H335" i="11"/>
  <c r="H336" i="11"/>
  <c r="H337" i="11"/>
  <c r="H338" i="11"/>
  <c r="H339" i="11"/>
  <c r="H340" i="11"/>
  <c r="D341" i="11"/>
  <c r="H341" i="11"/>
  <c r="H342" i="11"/>
  <c r="D343" i="11"/>
  <c r="H343" i="11"/>
  <c r="A348" i="11"/>
  <c r="C349" i="11"/>
  <c r="D349" i="11"/>
  <c r="D27" i="10" s="1"/>
  <c r="E349" i="11"/>
  <c r="E27" i="10" s="1"/>
  <c r="F349" i="11"/>
  <c r="F27" i="10" s="1"/>
  <c r="H349" i="11"/>
  <c r="I349" i="11"/>
  <c r="I27" i="10" s="1"/>
  <c r="O27" i="47" s="1"/>
  <c r="N27" i="47" s="1"/>
  <c r="G351" i="11"/>
  <c r="G352" i="11"/>
  <c r="G355" i="11"/>
  <c r="G356" i="11"/>
  <c r="G358" i="11"/>
  <c r="G359" i="11"/>
  <c r="G360" i="11"/>
  <c r="G365" i="11"/>
  <c r="C375" i="11"/>
  <c r="C28" i="10" s="1"/>
  <c r="D375" i="11"/>
  <c r="D28" i="10"/>
  <c r="E375" i="11"/>
  <c r="F375" i="11"/>
  <c r="F28" i="10" s="1"/>
  <c r="G376" i="11"/>
  <c r="H376" i="11" s="1"/>
  <c r="H377" i="11"/>
  <c r="H378" i="11"/>
  <c r="G379" i="11"/>
  <c r="H379" i="11" s="1"/>
  <c r="H380" i="11"/>
  <c r="G381" i="11"/>
  <c r="H381" i="11"/>
  <c r="G382" i="11"/>
  <c r="H382" i="11"/>
  <c r="H383" i="11"/>
  <c r="H384" i="11"/>
  <c r="G385" i="11"/>
  <c r="H385" i="11"/>
  <c r="H386" i="11"/>
  <c r="G387" i="11"/>
  <c r="H387" i="11" s="1"/>
  <c r="G388" i="11"/>
  <c r="H388" i="11" s="1"/>
  <c r="H389" i="11"/>
  <c r="G390" i="11"/>
  <c r="H390" i="11"/>
  <c r="H391" i="11"/>
  <c r="H392" i="11"/>
  <c r="H393" i="11"/>
  <c r="H394" i="11"/>
  <c r="G395" i="11"/>
  <c r="H395" i="11"/>
  <c r="G396" i="11"/>
  <c r="H396" i="11"/>
  <c r="H397" i="11"/>
  <c r="H398" i="11"/>
  <c r="G399" i="11"/>
  <c r="H399" i="11"/>
  <c r="H400" i="11"/>
  <c r="G401" i="11"/>
  <c r="H401" i="11" s="1"/>
  <c r="H402" i="11"/>
  <c r="G403" i="11"/>
  <c r="H403" i="11" s="1"/>
  <c r="G404" i="11"/>
  <c r="H404" i="11" s="1"/>
  <c r="G405" i="11"/>
  <c r="H405" i="11" s="1"/>
  <c r="H406" i="11"/>
  <c r="H407" i="11"/>
  <c r="H408" i="11"/>
  <c r="G409" i="11"/>
  <c r="H409" i="11" s="1"/>
  <c r="H410" i="11"/>
  <c r="A411" i="11"/>
  <c r="C412" i="11"/>
  <c r="D412" i="11"/>
  <c r="D29" i="10" s="1"/>
  <c r="E412" i="11"/>
  <c r="I412" i="11"/>
  <c r="I133" i="9" s="1"/>
  <c r="F425" i="11"/>
  <c r="F412" i="11" s="1"/>
  <c r="G426" i="11"/>
  <c r="C433" i="11"/>
  <c r="D433" i="11"/>
  <c r="D30" i="10" s="1"/>
  <c r="E433" i="11"/>
  <c r="E30" i="10" s="1"/>
  <c r="F433" i="11"/>
  <c r="F30" i="10"/>
  <c r="I433" i="11"/>
  <c r="I124" i="9" s="1"/>
  <c r="I122" i="9" s="1"/>
  <c r="I43" i="8" s="1"/>
  <c r="O43" i="48" s="1"/>
  <c r="N43" i="48" s="1"/>
  <c r="G434" i="11"/>
  <c r="G435" i="11"/>
  <c r="H435" i="11" s="1"/>
  <c r="G436" i="11"/>
  <c r="H436" i="11" s="1"/>
  <c r="H437" i="11"/>
  <c r="H438" i="11"/>
  <c r="G439" i="11"/>
  <c r="H439" i="11" s="1"/>
  <c r="G440" i="11"/>
  <c r="H440" i="11" s="1"/>
  <c r="H441" i="11"/>
  <c r="H442" i="11"/>
  <c r="G443" i="11"/>
  <c r="H443" i="11" s="1"/>
  <c r="H444" i="11"/>
  <c r="G445" i="11"/>
  <c r="H445" i="11" s="1"/>
  <c r="H446" i="11"/>
  <c r="G447" i="11"/>
  <c r="H447" i="11"/>
  <c r="G448" i="11"/>
  <c r="H448" i="11"/>
  <c r="G449" i="11"/>
  <c r="H449" i="11"/>
  <c r="G450" i="11"/>
  <c r="H450" i="11"/>
  <c r="C454" i="11"/>
  <c r="D454" i="11"/>
  <c r="E454" i="11"/>
  <c r="F454" i="11"/>
  <c r="I454" i="11"/>
  <c r="I126" i="9" s="1"/>
  <c r="I125" i="9" s="1"/>
  <c r="I44" i="8" s="1"/>
  <c r="O44" i="48" s="1"/>
  <c r="N44" i="48" s="1"/>
  <c r="G455" i="11"/>
  <c r="G456" i="11"/>
  <c r="H456" i="11" s="1"/>
  <c r="G457" i="11"/>
  <c r="H457" i="11" s="1"/>
  <c r="H458" i="11"/>
  <c r="G459" i="11"/>
  <c r="H459" i="11"/>
  <c r="G460" i="11"/>
  <c r="H460" i="11"/>
  <c r="G461" i="11"/>
  <c r="H461" i="11"/>
  <c r="H462" i="11"/>
  <c r="G463" i="11"/>
  <c r="H463" i="11" s="1"/>
  <c r="G464" i="11"/>
  <c r="H464" i="11" s="1"/>
  <c r="H465" i="11"/>
  <c r="H466" i="11"/>
  <c r="G467" i="11"/>
  <c r="H467" i="11" s="1"/>
  <c r="H468" i="11"/>
  <c r="G469" i="11"/>
  <c r="H469" i="11" s="1"/>
  <c r="G470" i="11"/>
  <c r="H470" i="11" s="1"/>
  <c r="G471" i="11"/>
  <c r="H471" i="11" s="1"/>
  <c r="G472" i="11"/>
  <c r="H472" i="11" s="1"/>
  <c r="H473" i="11"/>
  <c r="H474" i="11"/>
  <c r="H475" i="11"/>
  <c r="H476" i="11"/>
  <c r="H477" i="11"/>
  <c r="H478" i="11"/>
  <c r="H479" i="11"/>
  <c r="H480" i="11"/>
  <c r="G481" i="11"/>
  <c r="H481" i="11" s="1"/>
  <c r="G482" i="11"/>
  <c r="H482" i="11" s="1"/>
  <c r="H483" i="11"/>
  <c r="G484" i="11"/>
  <c r="H484" i="11"/>
  <c r="H485" i="11"/>
  <c r="G486" i="11"/>
  <c r="H486" i="11" s="1"/>
  <c r="H487" i="11"/>
  <c r="G488" i="11"/>
  <c r="H488" i="11" s="1"/>
  <c r="H489" i="11"/>
  <c r="G490" i="11"/>
  <c r="H490" i="11" s="1"/>
  <c r="H491" i="11"/>
  <c r="G492" i="11"/>
  <c r="H492" i="11"/>
  <c r="C497" i="11"/>
  <c r="D497" i="11"/>
  <c r="E497" i="11"/>
  <c r="F497" i="11"/>
  <c r="I497" i="11"/>
  <c r="I130" i="9" s="1"/>
  <c r="G498" i="11"/>
  <c r="G499" i="11"/>
  <c r="H499" i="11"/>
  <c r="G500" i="11"/>
  <c r="H500" i="11"/>
  <c r="H501" i="11"/>
  <c r="H502" i="11"/>
  <c r="G503" i="11"/>
  <c r="H503" i="11"/>
  <c r="G504" i="11"/>
  <c r="H504" i="11"/>
  <c r="H505" i="11"/>
  <c r="H506" i="11"/>
  <c r="H507" i="11"/>
  <c r="G508" i="11"/>
  <c r="H508" i="11" s="1"/>
  <c r="G509" i="11"/>
  <c r="H509" i="11" s="1"/>
  <c r="H510" i="11"/>
  <c r="G511" i="11"/>
  <c r="H511" i="11"/>
  <c r="H512" i="11"/>
  <c r="H513" i="11"/>
  <c r="H514" i="11"/>
  <c r="H515" i="11"/>
  <c r="H516" i="11"/>
  <c r="G517" i="11"/>
  <c r="H517" i="11" s="1"/>
  <c r="H518" i="11"/>
  <c r="H519" i="11"/>
  <c r="H520" i="11"/>
  <c r="H521" i="11"/>
  <c r="H522" i="11"/>
  <c r="G523" i="11"/>
  <c r="H523" i="11" s="1"/>
  <c r="C527" i="11"/>
  <c r="C33" i="10" s="1"/>
  <c r="D527" i="11"/>
  <c r="E527" i="11"/>
  <c r="E33" i="10"/>
  <c r="F527" i="11"/>
  <c r="G527" i="11"/>
  <c r="G33" i="10" s="1"/>
  <c r="H527" i="11"/>
  <c r="I527" i="11"/>
  <c r="I129" i="9" s="1"/>
  <c r="A538" i="11"/>
  <c r="A539" i="11"/>
  <c r="A540" i="11"/>
  <c r="C541" i="11"/>
  <c r="C34" i="10" s="1"/>
  <c r="D541" i="11"/>
  <c r="D34" i="10" s="1"/>
  <c r="E541" i="11"/>
  <c r="E34" i="10"/>
  <c r="F541" i="11"/>
  <c r="G542" i="11"/>
  <c r="H542" i="11" s="1"/>
  <c r="G543" i="11"/>
  <c r="H543" i="11" s="1"/>
  <c r="G544" i="11"/>
  <c r="H544" i="11" s="1"/>
  <c r="H545" i="11"/>
  <c r="H546" i="11"/>
  <c r="G547" i="11"/>
  <c r="H547" i="11" s="1"/>
  <c r="G548" i="11"/>
  <c r="H548" i="11" s="1"/>
  <c r="H549" i="11"/>
  <c r="G550" i="11"/>
  <c r="H550" i="11"/>
  <c r="G551" i="11"/>
  <c r="H551" i="11"/>
  <c r="G552" i="11"/>
  <c r="H552" i="11" s="1"/>
  <c r="G553" i="11"/>
  <c r="H553" i="11" s="1"/>
  <c r="G554" i="11"/>
  <c r="H554" i="11" s="1"/>
  <c r="G555" i="11"/>
  <c r="H555" i="11" s="1"/>
  <c r="G556" i="11"/>
  <c r="H556" i="11" s="1"/>
  <c r="H557" i="11"/>
  <c r="H558" i="11"/>
  <c r="G559" i="11"/>
  <c r="H559" i="11" s="1"/>
  <c r="G560" i="11"/>
  <c r="H560" i="11" s="1"/>
  <c r="G561" i="11"/>
  <c r="H561" i="11"/>
  <c r="H562" i="11"/>
  <c r="H563" i="11"/>
  <c r="H564" i="11"/>
  <c r="H565" i="11"/>
  <c r="G566" i="11"/>
  <c r="H566" i="11"/>
  <c r="H567" i="11"/>
  <c r="H568" i="11"/>
  <c r="H569" i="11"/>
  <c r="G570" i="11"/>
  <c r="H570" i="11" s="1"/>
  <c r="H571" i="11"/>
  <c r="H572" i="11"/>
  <c r="H573" i="11"/>
  <c r="H574" i="11"/>
  <c r="G575" i="11"/>
  <c r="H575" i="11" s="1"/>
  <c r="G576" i="11"/>
  <c r="H576" i="11" s="1"/>
  <c r="G577" i="11"/>
  <c r="H577" i="11" s="1"/>
  <c r="G578" i="11"/>
  <c r="H578" i="11" s="1"/>
  <c r="H579" i="11"/>
  <c r="H580" i="11"/>
  <c r="G581" i="11"/>
  <c r="H581" i="11" s="1"/>
  <c r="G582" i="11"/>
  <c r="H582" i="11" s="1"/>
  <c r="G583" i="11"/>
  <c r="H583" i="11" s="1"/>
  <c r="H584" i="11"/>
  <c r="G585" i="11"/>
  <c r="H585" i="11"/>
  <c r="H586" i="11"/>
  <c r="G587" i="11"/>
  <c r="H587" i="11" s="1"/>
  <c r="C591" i="11"/>
  <c r="D591" i="11"/>
  <c r="D35" i="10" s="1"/>
  <c r="E591" i="11"/>
  <c r="E35" i="10" s="1"/>
  <c r="F591" i="11"/>
  <c r="F35" i="10" s="1"/>
  <c r="G592" i="11"/>
  <c r="H592" i="11"/>
  <c r="G593" i="11"/>
  <c r="H593" i="11" s="1"/>
  <c r="G594" i="11"/>
  <c r="H594" i="11"/>
  <c r="H595" i="11"/>
  <c r="H596" i="11"/>
  <c r="G597" i="11"/>
  <c r="H597" i="11"/>
  <c r="G598" i="11"/>
  <c r="H598" i="11" s="1"/>
  <c r="H599" i="11"/>
  <c r="H600" i="11"/>
  <c r="G601" i="11"/>
  <c r="H601" i="11"/>
  <c r="H602" i="11"/>
  <c r="G603" i="11"/>
  <c r="H603" i="11" s="1"/>
  <c r="G604" i="11"/>
  <c r="H604" i="11" s="1"/>
  <c r="H605" i="11"/>
  <c r="H606" i="11"/>
  <c r="G607" i="11"/>
  <c r="H607" i="11" s="1"/>
  <c r="H608" i="11"/>
  <c r="H609" i="11"/>
  <c r="H610" i="11"/>
  <c r="H611" i="11"/>
  <c r="H612" i="11"/>
  <c r="H613" i="11"/>
  <c r="H614" i="11"/>
  <c r="H615" i="11"/>
  <c r="H616" i="11"/>
  <c r="H617" i="11"/>
  <c r="H618" i="11"/>
  <c r="H619" i="11"/>
  <c r="H620" i="11"/>
  <c r="G621" i="11"/>
  <c r="H621" i="11" s="1"/>
  <c r="H622" i="11"/>
  <c r="H623" i="11"/>
  <c r="H624" i="11"/>
  <c r="H625" i="11"/>
  <c r="H626" i="11"/>
  <c r="H627" i="11"/>
  <c r="H628" i="11"/>
  <c r="H629" i="11"/>
  <c r="H630" i="11"/>
  <c r="H631" i="11"/>
  <c r="H632" i="11"/>
  <c r="H633" i="11"/>
  <c r="H634" i="11"/>
  <c r="H635" i="11"/>
  <c r="H636" i="11"/>
  <c r="H637" i="11"/>
  <c r="H638" i="11"/>
  <c r="H639" i="11"/>
  <c r="H640" i="11"/>
  <c r="H641" i="11"/>
  <c r="H642" i="11"/>
  <c r="H643" i="11"/>
  <c r="G644" i="11"/>
  <c r="H644" i="11" s="1"/>
  <c r="H645" i="11"/>
  <c r="H646" i="11"/>
  <c r="H647" i="11"/>
  <c r="H648" i="11"/>
  <c r="H649" i="11"/>
  <c r="H650" i="11"/>
  <c r="G651" i="11"/>
  <c r="H651" i="11" s="1"/>
  <c r="H652" i="11"/>
  <c r="H653" i="11"/>
  <c r="H654" i="11"/>
  <c r="C661" i="11"/>
  <c r="C36" i="10" s="1"/>
  <c r="D661" i="11"/>
  <c r="D36" i="10" s="1"/>
  <c r="E661" i="11"/>
  <c r="F661" i="11"/>
  <c r="F36" i="10" s="1"/>
  <c r="I661" i="11"/>
  <c r="I100" i="9" s="1"/>
  <c r="I95" i="9" s="1"/>
  <c r="I35" i="8" s="1"/>
  <c r="O35" i="48" s="1"/>
  <c r="N35" i="48" s="1"/>
  <c r="G662" i="11"/>
  <c r="G663" i="11"/>
  <c r="H663" i="11" s="1"/>
  <c r="G664" i="11"/>
  <c r="H664" i="11" s="1"/>
  <c r="H665" i="11"/>
  <c r="H666" i="11"/>
  <c r="G667" i="11"/>
  <c r="H667" i="11" s="1"/>
  <c r="G668" i="11"/>
  <c r="H668" i="11"/>
  <c r="H669" i="11"/>
  <c r="G670" i="11"/>
  <c r="H670" i="11" s="1"/>
  <c r="G671" i="11"/>
  <c r="H671" i="11" s="1"/>
  <c r="G672" i="11"/>
  <c r="H672" i="11" s="1"/>
  <c r="H673" i="11"/>
  <c r="H674" i="11"/>
  <c r="H675" i="11"/>
  <c r="H676" i="11"/>
  <c r="G677" i="11"/>
  <c r="H677" i="11" s="1"/>
  <c r="H678" i="11"/>
  <c r="H679" i="11"/>
  <c r="H680" i="11"/>
  <c r="H681" i="11"/>
  <c r="H682" i="11"/>
  <c r="H683" i="11"/>
  <c r="H684" i="11"/>
  <c r="H685" i="11"/>
  <c r="H686" i="11"/>
  <c r="H687" i="11"/>
  <c r="A689" i="11"/>
  <c r="C691" i="11"/>
  <c r="C37" i="10"/>
  <c r="E691" i="11"/>
  <c r="F691" i="11"/>
  <c r="F37" i="10" s="1"/>
  <c r="H691" i="11"/>
  <c r="H37" i="10" s="1"/>
  <c r="D701" i="11"/>
  <c r="D704" i="11"/>
  <c r="D705" i="11"/>
  <c r="G705" i="11"/>
  <c r="G691" i="11" s="1"/>
  <c r="G37" i="10" s="1"/>
  <c r="L707" i="11"/>
  <c r="L709" i="11" s="1"/>
  <c r="M707" i="11"/>
  <c r="N707" i="11"/>
  <c r="N709" i="11" s="1"/>
  <c r="O707" i="11"/>
  <c r="P707" i="11"/>
  <c r="P709" i="11" s="1"/>
  <c r="Q707" i="11"/>
  <c r="R707" i="11"/>
  <c r="R709" i="11" s="1"/>
  <c r="S707" i="11"/>
  <c r="T707" i="11"/>
  <c r="T709" i="11" s="1"/>
  <c r="U707" i="11"/>
  <c r="U709" i="11" s="1"/>
  <c r="V707" i="11"/>
  <c r="V709" i="11" s="1"/>
  <c r="W707" i="11"/>
  <c r="W709" i="11" s="1"/>
  <c r="A709" i="11"/>
  <c r="O709" i="11"/>
  <c r="A710" i="11"/>
  <c r="A2" i="10"/>
  <c r="B2" i="10"/>
  <c r="L2" i="10"/>
  <c r="C3" i="10"/>
  <c r="D3" i="10"/>
  <c r="E3" i="10"/>
  <c r="F3" i="10"/>
  <c r="G3" i="10"/>
  <c r="H3" i="10"/>
  <c r="C5" i="10"/>
  <c r="G5" i="10"/>
  <c r="I5" i="10"/>
  <c r="O5" i="47"/>
  <c r="K5" i="10"/>
  <c r="Q5" i="47"/>
  <c r="F6" i="10"/>
  <c r="H6" i="10"/>
  <c r="J6" i="10"/>
  <c r="P6" i="47" s="1"/>
  <c r="D7" i="10"/>
  <c r="F7" i="10"/>
  <c r="H7" i="10"/>
  <c r="K7" i="10"/>
  <c r="Q7" i="47"/>
  <c r="D8" i="10"/>
  <c r="F8" i="10"/>
  <c r="C9" i="10"/>
  <c r="D9" i="10"/>
  <c r="E9" i="10"/>
  <c r="F9" i="10"/>
  <c r="D10" i="10"/>
  <c r="F10" i="10"/>
  <c r="H10" i="10"/>
  <c r="J10" i="10"/>
  <c r="P10" i="47" s="1"/>
  <c r="C11" i="10"/>
  <c r="E11" i="10"/>
  <c r="D12" i="10"/>
  <c r="H12" i="10"/>
  <c r="C13" i="10"/>
  <c r="D13" i="10"/>
  <c r="I13" i="10"/>
  <c r="O13" i="47" s="1"/>
  <c r="N13" i="47" s="1"/>
  <c r="F14" i="10"/>
  <c r="H14" i="10"/>
  <c r="K14" i="10"/>
  <c r="Q14" i="47"/>
  <c r="F15" i="10"/>
  <c r="D16" i="10"/>
  <c r="F16" i="10"/>
  <c r="H16" i="10"/>
  <c r="K16" i="10"/>
  <c r="Q16" i="47"/>
  <c r="C17" i="10"/>
  <c r="E17" i="10"/>
  <c r="C18" i="10"/>
  <c r="E18" i="10"/>
  <c r="C23" i="10"/>
  <c r="E23" i="10"/>
  <c r="D24" i="10"/>
  <c r="C25" i="10"/>
  <c r="E25" i="10"/>
  <c r="C26" i="10"/>
  <c r="F26" i="10"/>
  <c r="C27" i="10"/>
  <c r="H27" i="10"/>
  <c r="E28" i="10"/>
  <c r="C29" i="10"/>
  <c r="E29" i="10"/>
  <c r="C30" i="10"/>
  <c r="C31" i="10"/>
  <c r="D31" i="10"/>
  <c r="E31" i="10"/>
  <c r="F31" i="10"/>
  <c r="C32" i="10"/>
  <c r="D32" i="10"/>
  <c r="E32" i="10"/>
  <c r="F32" i="10"/>
  <c r="I32" i="10"/>
  <c r="O32" i="47" s="1"/>
  <c r="N32" i="47" s="1"/>
  <c r="D33" i="10"/>
  <c r="F33" i="10"/>
  <c r="H33" i="10"/>
  <c r="L33" i="10"/>
  <c r="F34" i="10"/>
  <c r="L34" i="10"/>
  <c r="L35" i="10"/>
  <c r="E36" i="10"/>
  <c r="L36" i="10"/>
  <c r="E37" i="10"/>
  <c r="L37" i="10"/>
  <c r="L38" i="10"/>
  <c r="M38" i="10"/>
  <c r="M39" i="10" s="1"/>
  <c r="N38" i="10"/>
  <c r="O38" i="10"/>
  <c r="O39" i="10" s="1"/>
  <c r="P38" i="10"/>
  <c r="Q38" i="10"/>
  <c r="Q39" i="10" s="1"/>
  <c r="R38" i="10"/>
  <c r="S38" i="10"/>
  <c r="S39" i="10" s="1"/>
  <c r="T38" i="10"/>
  <c r="U38" i="10"/>
  <c r="U39" i="10" s="1"/>
  <c r="V38" i="10"/>
  <c r="W38" i="10"/>
  <c r="W39" i="10" s="1"/>
  <c r="A39" i="10"/>
  <c r="L39" i="10"/>
  <c r="N39" i="10"/>
  <c r="P39" i="10"/>
  <c r="R39" i="10"/>
  <c r="T39" i="10"/>
  <c r="V39" i="10"/>
  <c r="A40" i="10"/>
  <c r="A45" i="10"/>
  <c r="A2" i="9"/>
  <c r="B2" i="9"/>
  <c r="C3" i="9"/>
  <c r="D3" i="9"/>
  <c r="E3" i="9"/>
  <c r="F3" i="9"/>
  <c r="G3" i="9"/>
  <c r="H3" i="9"/>
  <c r="C6" i="9"/>
  <c r="C5" i="9" s="1"/>
  <c r="D6" i="9"/>
  <c r="D5" i="9" s="1"/>
  <c r="E6" i="9"/>
  <c r="E5" i="9" s="1"/>
  <c r="F6" i="9"/>
  <c r="F5" i="9" s="1"/>
  <c r="G6" i="9"/>
  <c r="G5" i="9" s="1"/>
  <c r="H6" i="9"/>
  <c r="H5" i="9" s="1"/>
  <c r="I6" i="9"/>
  <c r="J6" i="9"/>
  <c r="J6" i="8" s="1"/>
  <c r="K6" i="9"/>
  <c r="C10" i="9"/>
  <c r="C8" i="8" s="1"/>
  <c r="D10" i="9"/>
  <c r="E10" i="9"/>
  <c r="E8" i="8" s="1"/>
  <c r="F10" i="9"/>
  <c r="G10" i="9"/>
  <c r="G8" i="8" s="1"/>
  <c r="H10" i="9"/>
  <c r="I10" i="9"/>
  <c r="I8" i="8" s="1"/>
  <c r="J10" i="9"/>
  <c r="K10" i="9"/>
  <c r="K8" i="8" s="1"/>
  <c r="Q8" i="48" s="1"/>
  <c r="C16" i="9"/>
  <c r="C15" i="9" s="1"/>
  <c r="D16" i="9"/>
  <c r="D15" i="9" s="1"/>
  <c r="E16" i="9"/>
  <c r="E15" i="9" s="1"/>
  <c r="F16" i="9"/>
  <c r="F15" i="9" s="1"/>
  <c r="G16" i="9"/>
  <c r="G15" i="9" s="1"/>
  <c r="H16" i="9"/>
  <c r="H15" i="9" s="1"/>
  <c r="C26" i="9"/>
  <c r="D26" i="9"/>
  <c r="E26" i="9"/>
  <c r="F26" i="9"/>
  <c r="G26" i="9"/>
  <c r="H26" i="9"/>
  <c r="C33" i="9"/>
  <c r="D33" i="9"/>
  <c r="D14" i="8" s="1"/>
  <c r="E33" i="9"/>
  <c r="F33" i="9"/>
  <c r="F14" i="8" s="1"/>
  <c r="G33" i="9"/>
  <c r="H33" i="9"/>
  <c r="H14" i="8" s="1"/>
  <c r="I33" i="9"/>
  <c r="J33" i="9"/>
  <c r="J14" i="8" s="1"/>
  <c r="P14" i="48" s="1"/>
  <c r="K33" i="9"/>
  <c r="C38" i="9"/>
  <c r="C37" i="9" s="1"/>
  <c r="D38" i="9"/>
  <c r="D37" i="9" s="1"/>
  <c r="E38" i="9"/>
  <c r="E37" i="9" s="1"/>
  <c r="F38" i="9"/>
  <c r="F37" i="9" s="1"/>
  <c r="G38" i="9"/>
  <c r="G37" i="9" s="1"/>
  <c r="H38" i="9"/>
  <c r="H37" i="9" s="1"/>
  <c r="C42" i="9"/>
  <c r="D42" i="9"/>
  <c r="E42" i="9"/>
  <c r="F42" i="9"/>
  <c r="G42" i="9"/>
  <c r="H42" i="9"/>
  <c r="I42" i="9"/>
  <c r="J42" i="9"/>
  <c r="K42" i="9"/>
  <c r="C48" i="9"/>
  <c r="D48" i="9"/>
  <c r="E48" i="9"/>
  <c r="F48" i="9"/>
  <c r="G48" i="9"/>
  <c r="H48" i="9"/>
  <c r="I48" i="9"/>
  <c r="J48" i="9"/>
  <c r="K48" i="9"/>
  <c r="C53" i="9"/>
  <c r="C52" i="9" s="1"/>
  <c r="D53" i="9"/>
  <c r="D52" i="9" s="1"/>
  <c r="E53" i="9"/>
  <c r="E52" i="9" s="1"/>
  <c r="F53" i="9"/>
  <c r="F52" i="9" s="1"/>
  <c r="G53" i="9"/>
  <c r="G52" i="9" s="1"/>
  <c r="H53" i="9"/>
  <c r="H52" i="9" s="1"/>
  <c r="I53" i="9"/>
  <c r="J53" i="9"/>
  <c r="J20" i="8"/>
  <c r="P20" i="48" s="1"/>
  <c r="C56" i="9"/>
  <c r="C21" i="8" s="1"/>
  <c r="D56" i="9"/>
  <c r="E56" i="9"/>
  <c r="E21" i="8" s="1"/>
  <c r="F56" i="9"/>
  <c r="G56" i="9"/>
  <c r="G21" i="8" s="1"/>
  <c r="H56" i="9"/>
  <c r="C59" i="9"/>
  <c r="D59" i="9"/>
  <c r="E59" i="9"/>
  <c r="F59" i="9"/>
  <c r="G59" i="9"/>
  <c r="H59" i="9"/>
  <c r="C63" i="9"/>
  <c r="D63" i="9"/>
  <c r="E63" i="9"/>
  <c r="F63" i="9"/>
  <c r="G63" i="9"/>
  <c r="H63" i="9"/>
  <c r="C65" i="9"/>
  <c r="D65" i="9"/>
  <c r="E65" i="9"/>
  <c r="F65" i="9"/>
  <c r="G65" i="9"/>
  <c r="H65" i="9"/>
  <c r="I65" i="9"/>
  <c r="J65" i="9"/>
  <c r="K65" i="9"/>
  <c r="A71" i="9"/>
  <c r="A74" i="9"/>
  <c r="C74" i="9"/>
  <c r="E74" i="9"/>
  <c r="G74" i="9"/>
  <c r="A75" i="9"/>
  <c r="C75" i="9"/>
  <c r="D75" i="9"/>
  <c r="D74" i="9" s="1"/>
  <c r="E75" i="9"/>
  <c r="F75" i="9"/>
  <c r="F74" i="9" s="1"/>
  <c r="G75" i="9"/>
  <c r="H75" i="9"/>
  <c r="H74" i="9" s="1"/>
  <c r="A76" i="9"/>
  <c r="A77" i="9"/>
  <c r="A78" i="9"/>
  <c r="A79" i="9"/>
  <c r="C79" i="9"/>
  <c r="D79" i="9"/>
  <c r="E79" i="9"/>
  <c r="F79" i="9"/>
  <c r="G79" i="9"/>
  <c r="H79" i="9"/>
  <c r="A80" i="9"/>
  <c r="A81" i="9"/>
  <c r="A82" i="9"/>
  <c r="A83" i="9"/>
  <c r="A84" i="9"/>
  <c r="A85" i="9"/>
  <c r="C85" i="9"/>
  <c r="D85" i="9"/>
  <c r="D84" i="9" s="1"/>
  <c r="E85" i="9"/>
  <c r="F85" i="9"/>
  <c r="F84" i="9" s="1"/>
  <c r="G85" i="9"/>
  <c r="H85" i="9"/>
  <c r="H84" i="9" s="1"/>
  <c r="A86" i="9"/>
  <c r="A87" i="9"/>
  <c r="A88" i="9"/>
  <c r="A89" i="9"/>
  <c r="A90" i="9"/>
  <c r="A91" i="9"/>
  <c r="A92" i="9"/>
  <c r="A93" i="9"/>
  <c r="A94" i="9"/>
  <c r="A95" i="9"/>
  <c r="C95" i="9"/>
  <c r="D95" i="9"/>
  <c r="D35" i="8" s="1"/>
  <c r="E95" i="9"/>
  <c r="F95" i="9"/>
  <c r="F35" i="8" s="1"/>
  <c r="G95" i="9"/>
  <c r="H95" i="9"/>
  <c r="H35" i="8" s="1"/>
  <c r="A96" i="9"/>
  <c r="A97" i="9"/>
  <c r="A98" i="9"/>
  <c r="A99" i="9"/>
  <c r="A100" i="9"/>
  <c r="A101" i="9"/>
  <c r="A102" i="9"/>
  <c r="C102" i="9"/>
  <c r="C84" i="9" s="1"/>
  <c r="D102" i="9"/>
  <c r="E102" i="9"/>
  <c r="E84" i="9" s="1"/>
  <c r="F102" i="9"/>
  <c r="G102" i="9"/>
  <c r="G84" i="9" s="1"/>
  <c r="H102" i="9"/>
  <c r="I102" i="9"/>
  <c r="I37" i="8" s="1"/>
  <c r="O37" i="48" s="1"/>
  <c r="N37" i="48" s="1"/>
  <c r="J102" i="9"/>
  <c r="K102" i="9"/>
  <c r="K37" i="8" s="1"/>
  <c r="Q37" i="48" s="1"/>
  <c r="A103" i="9"/>
  <c r="A104" i="9"/>
  <c r="A105" i="9"/>
  <c r="A106" i="9"/>
  <c r="A107" i="9"/>
  <c r="C107" i="9"/>
  <c r="C106" i="9" s="1"/>
  <c r="D107" i="9"/>
  <c r="E107" i="9"/>
  <c r="E106" i="9" s="1"/>
  <c r="F107" i="9"/>
  <c r="G107" i="9"/>
  <c r="G106" i="9" s="1"/>
  <c r="H107" i="9"/>
  <c r="A108" i="9"/>
  <c r="A109" i="9"/>
  <c r="A110" i="9"/>
  <c r="A111" i="9"/>
  <c r="C111" i="9"/>
  <c r="C40" i="8" s="1"/>
  <c r="D111" i="9"/>
  <c r="E111" i="9"/>
  <c r="E40" i="8" s="1"/>
  <c r="F111" i="9"/>
  <c r="G111" i="9"/>
  <c r="G40" i="8" s="1"/>
  <c r="H111" i="9"/>
  <c r="I111" i="9"/>
  <c r="I40" i="8" s="1"/>
  <c r="O40" i="48" s="1"/>
  <c r="N40" i="48" s="1"/>
  <c r="J111" i="9"/>
  <c r="K111" i="9"/>
  <c r="K40" i="8" s="1"/>
  <c r="Q40" i="48" s="1"/>
  <c r="A112" i="9"/>
  <c r="A113" i="9"/>
  <c r="A114" i="9"/>
  <c r="A115" i="9"/>
  <c r="A116" i="9"/>
  <c r="A117" i="9"/>
  <c r="C117" i="9"/>
  <c r="D117" i="9"/>
  <c r="D106" i="9" s="1"/>
  <c r="E117" i="9"/>
  <c r="F117" i="9"/>
  <c r="F106" i="9" s="1"/>
  <c r="G117" i="9"/>
  <c r="H117" i="9"/>
  <c r="H106" i="9" s="1"/>
  <c r="I117" i="9"/>
  <c r="J117" i="9"/>
  <c r="K117" i="9"/>
  <c r="A118" i="9"/>
  <c r="A119" i="9"/>
  <c r="A120" i="9"/>
  <c r="A121" i="9"/>
  <c r="A122" i="9"/>
  <c r="C122" i="9"/>
  <c r="D122" i="9"/>
  <c r="D121" i="9" s="1"/>
  <c r="E122" i="9"/>
  <c r="F122" i="9"/>
  <c r="F121" i="9" s="1"/>
  <c r="G122" i="9"/>
  <c r="H122" i="9"/>
  <c r="H121" i="9" s="1"/>
  <c r="A123" i="9"/>
  <c r="A124" i="9"/>
  <c r="A125" i="9"/>
  <c r="C125" i="9"/>
  <c r="C121" i="9" s="1"/>
  <c r="D125" i="9"/>
  <c r="E125" i="9"/>
  <c r="E121" i="9" s="1"/>
  <c r="F125" i="9"/>
  <c r="G125" i="9"/>
  <c r="G121" i="9" s="1"/>
  <c r="H125" i="9"/>
  <c r="A126" i="9"/>
  <c r="A127" i="9"/>
  <c r="A128" i="9"/>
  <c r="C128" i="9"/>
  <c r="D128" i="9"/>
  <c r="D45" i="8" s="1"/>
  <c r="E128" i="9"/>
  <c r="F128" i="9"/>
  <c r="F45" i="8" s="1"/>
  <c r="G128" i="9"/>
  <c r="H128" i="9"/>
  <c r="H45" i="8" s="1"/>
  <c r="A129" i="9"/>
  <c r="A130" i="9"/>
  <c r="A131" i="9"/>
  <c r="A132" i="9"/>
  <c r="C132" i="9"/>
  <c r="D132" i="9"/>
  <c r="E132" i="9"/>
  <c r="F132" i="9"/>
  <c r="G132" i="9"/>
  <c r="H132" i="9"/>
  <c r="A133" i="9"/>
  <c r="A134" i="9"/>
  <c r="C134" i="9"/>
  <c r="D134" i="9"/>
  <c r="D47" i="8" s="1"/>
  <c r="E134" i="9"/>
  <c r="F134" i="9"/>
  <c r="F47" i="8" s="1"/>
  <c r="G134" i="9"/>
  <c r="H134" i="9"/>
  <c r="H47" i="8" s="1"/>
  <c r="I134" i="9"/>
  <c r="J134" i="9"/>
  <c r="J47" i="8" s="1"/>
  <c r="P47" i="48" s="1"/>
  <c r="K134" i="9"/>
  <c r="A135" i="9"/>
  <c r="A136" i="9"/>
  <c r="A137" i="9"/>
  <c r="A138" i="9"/>
  <c r="A139" i="9"/>
  <c r="A140" i="9"/>
  <c r="A141" i="9"/>
  <c r="A142" i="9"/>
  <c r="A2" i="8"/>
  <c r="B2" i="8"/>
  <c r="C3" i="8"/>
  <c r="D3" i="8"/>
  <c r="E3" i="8"/>
  <c r="F3" i="8"/>
  <c r="G3" i="8"/>
  <c r="H3" i="8"/>
  <c r="C6" i="8"/>
  <c r="E6" i="8"/>
  <c r="E5" i="8" s="1"/>
  <c r="G6" i="8"/>
  <c r="I6" i="8"/>
  <c r="O6" i="48" s="1"/>
  <c r="N6" i="48" s="1"/>
  <c r="K6" i="8"/>
  <c r="Q6" i="48" s="1"/>
  <c r="C7" i="8"/>
  <c r="D7" i="8"/>
  <c r="E7" i="8"/>
  <c r="F7" i="8"/>
  <c r="G7" i="8"/>
  <c r="H7" i="8"/>
  <c r="D8" i="8"/>
  <c r="F8" i="8"/>
  <c r="H8" i="8"/>
  <c r="J8" i="8"/>
  <c r="P8" i="48" s="1"/>
  <c r="C10" i="8"/>
  <c r="C9" i="8" s="1"/>
  <c r="E10" i="8"/>
  <c r="E9" i="8" s="1"/>
  <c r="G10" i="8"/>
  <c r="G9" i="8" s="1"/>
  <c r="C11" i="8"/>
  <c r="D11" i="8"/>
  <c r="E11" i="8"/>
  <c r="F11" i="8"/>
  <c r="G11" i="8"/>
  <c r="H11" i="8"/>
  <c r="I11" i="8"/>
  <c r="O11" i="48" s="1"/>
  <c r="N11" i="48" s="1"/>
  <c r="J11" i="8"/>
  <c r="P11" i="48" s="1"/>
  <c r="K11" i="8"/>
  <c r="Q11" i="48" s="1"/>
  <c r="C12" i="8"/>
  <c r="D12" i="8"/>
  <c r="E12" i="8"/>
  <c r="F12" i="8"/>
  <c r="G12" i="8"/>
  <c r="H12" i="8"/>
  <c r="C13" i="8"/>
  <c r="D13" i="8"/>
  <c r="E13" i="8"/>
  <c r="F13" i="8"/>
  <c r="G13" i="8"/>
  <c r="H13" i="8"/>
  <c r="I13" i="8"/>
  <c r="O13" i="48" s="1"/>
  <c r="N13" i="48" s="1"/>
  <c r="J13" i="8"/>
  <c r="P13" i="48" s="1"/>
  <c r="K13" i="8"/>
  <c r="Q13" i="48" s="1"/>
  <c r="C14" i="8"/>
  <c r="E14" i="8"/>
  <c r="G14" i="8"/>
  <c r="I14" i="8"/>
  <c r="O14" i="48" s="1"/>
  <c r="N14" i="48" s="1"/>
  <c r="K14" i="8"/>
  <c r="Q14" i="48" s="1"/>
  <c r="D16" i="8"/>
  <c r="D15" i="8" s="1"/>
  <c r="F16" i="8"/>
  <c r="F15" i="8" s="1"/>
  <c r="H16" i="8"/>
  <c r="H15" i="8" s="1"/>
  <c r="C17" i="8"/>
  <c r="D17" i="8"/>
  <c r="E17" i="8"/>
  <c r="F17" i="8"/>
  <c r="G17" i="8"/>
  <c r="H17" i="8"/>
  <c r="I17" i="8"/>
  <c r="O17" i="48" s="1"/>
  <c r="N17" i="48" s="1"/>
  <c r="J17" i="8"/>
  <c r="P17" i="48" s="1"/>
  <c r="K17" i="8"/>
  <c r="Q17" i="48" s="1"/>
  <c r="C18" i="8"/>
  <c r="D18" i="8"/>
  <c r="E18" i="8"/>
  <c r="F18" i="8"/>
  <c r="G18" i="8"/>
  <c r="H18" i="8"/>
  <c r="I18" i="8"/>
  <c r="O18" i="48" s="1"/>
  <c r="N18" i="48" s="1"/>
  <c r="J18" i="8"/>
  <c r="P18" i="48" s="1"/>
  <c r="K18" i="8"/>
  <c r="Q18" i="48" s="1"/>
  <c r="C20" i="8"/>
  <c r="C19" i="8" s="1"/>
  <c r="D20" i="8"/>
  <c r="D19" i="8" s="1"/>
  <c r="E20" i="8"/>
  <c r="E19" i="8" s="1"/>
  <c r="F20" i="8"/>
  <c r="F19" i="8" s="1"/>
  <c r="G20" i="8"/>
  <c r="G19" i="8" s="1"/>
  <c r="H20" i="8"/>
  <c r="H19" i="8" s="1"/>
  <c r="I20" i="8"/>
  <c r="O20" i="48" s="1"/>
  <c r="N20" i="48" s="1"/>
  <c r="D21" i="8"/>
  <c r="F21" i="8"/>
  <c r="H21" i="8"/>
  <c r="C22" i="8"/>
  <c r="D22" i="8"/>
  <c r="E22" i="8"/>
  <c r="F22" i="8"/>
  <c r="G22" i="8"/>
  <c r="H22" i="8"/>
  <c r="C23" i="8"/>
  <c r="D23" i="8"/>
  <c r="E23" i="8"/>
  <c r="F23" i="8"/>
  <c r="G23" i="8"/>
  <c r="H23" i="8"/>
  <c r="C24" i="8"/>
  <c r="D24" i="8"/>
  <c r="E24" i="8"/>
  <c r="F24" i="8"/>
  <c r="G24" i="8"/>
  <c r="H24" i="8"/>
  <c r="I24" i="8"/>
  <c r="O24" i="48" s="1"/>
  <c r="N24" i="48" s="1"/>
  <c r="J24" i="8"/>
  <c r="P24" i="48" s="1"/>
  <c r="K24" i="8"/>
  <c r="Q24" i="48" s="1"/>
  <c r="A25" i="8"/>
  <c r="A25" i="48" s="1"/>
  <c r="A28" i="8"/>
  <c r="A28" i="48" s="1"/>
  <c r="A29" i="8"/>
  <c r="A29" i="48" s="1"/>
  <c r="C29" i="8"/>
  <c r="D29" i="8"/>
  <c r="D28" i="8" s="1"/>
  <c r="E29" i="8"/>
  <c r="F29" i="8"/>
  <c r="F28" i="8" s="1"/>
  <c r="G29" i="8"/>
  <c r="H29" i="8"/>
  <c r="H28" i="8" s="1"/>
  <c r="A30" i="8"/>
  <c r="A30" i="48" s="1"/>
  <c r="C30" i="8"/>
  <c r="C28" i="8" s="1"/>
  <c r="D30" i="8"/>
  <c r="E30" i="8"/>
  <c r="E28" i="8" s="1"/>
  <c r="F30" i="8"/>
  <c r="G30" i="8"/>
  <c r="G28" i="8" s="1"/>
  <c r="H30" i="8"/>
  <c r="A31" i="8"/>
  <c r="A31" i="48" s="1"/>
  <c r="C31" i="8"/>
  <c r="D31" i="8"/>
  <c r="E31" i="8"/>
  <c r="F31" i="8"/>
  <c r="G31" i="8"/>
  <c r="H31" i="8"/>
  <c r="A32" i="8"/>
  <c r="A32" i="48" s="1"/>
  <c r="A33" i="8"/>
  <c r="A33" i="48" s="1"/>
  <c r="C33" i="8"/>
  <c r="D33" i="8"/>
  <c r="D32" i="8" s="1"/>
  <c r="E33" i="8"/>
  <c r="F33" i="8"/>
  <c r="F32" i="8" s="1"/>
  <c r="G33" i="8"/>
  <c r="H33" i="8"/>
  <c r="H32" i="8" s="1"/>
  <c r="A34" i="8"/>
  <c r="A34" i="48" s="1"/>
  <c r="C34" i="8"/>
  <c r="D34" i="8"/>
  <c r="E34" i="8"/>
  <c r="F34" i="8"/>
  <c r="G34" i="8"/>
  <c r="H34" i="8"/>
  <c r="I34" i="8"/>
  <c r="O34" i="48" s="1"/>
  <c r="N34" i="48" s="1"/>
  <c r="J34" i="8"/>
  <c r="P34" i="48" s="1"/>
  <c r="K34" i="8"/>
  <c r="Q34" i="48" s="1"/>
  <c r="A35" i="8"/>
  <c r="A35" i="48" s="1"/>
  <c r="C35" i="8"/>
  <c r="E35" i="8"/>
  <c r="G35" i="8"/>
  <c r="A36" i="8"/>
  <c r="A36" i="48" s="1"/>
  <c r="C36" i="8"/>
  <c r="D36" i="8"/>
  <c r="E36" i="8"/>
  <c r="F36" i="8"/>
  <c r="G36" i="8"/>
  <c r="H36" i="8"/>
  <c r="I36" i="8"/>
  <c r="O36" i="48" s="1"/>
  <c r="N36" i="48" s="1"/>
  <c r="J36" i="8"/>
  <c r="P36" i="48" s="1"/>
  <c r="K36" i="8"/>
  <c r="Q36" i="48" s="1"/>
  <c r="A37" i="8"/>
  <c r="A37" i="48" s="1"/>
  <c r="D37" i="8"/>
  <c r="F37" i="8"/>
  <c r="H37" i="8"/>
  <c r="J37" i="8"/>
  <c r="P37" i="48" s="1"/>
  <c r="A38" i="8"/>
  <c r="A38" i="48" s="1"/>
  <c r="A39" i="8"/>
  <c r="A39" i="48" s="1"/>
  <c r="C39" i="8"/>
  <c r="C38" i="8" s="1"/>
  <c r="D39" i="8"/>
  <c r="E39" i="8"/>
  <c r="E38" i="8" s="1"/>
  <c r="F39" i="8"/>
  <c r="G39" i="8"/>
  <c r="G38" i="8" s="1"/>
  <c r="H39" i="8"/>
  <c r="A40" i="8"/>
  <c r="A40" i="48" s="1"/>
  <c r="D40" i="8"/>
  <c r="D38" i="8" s="1"/>
  <c r="F40" i="8"/>
  <c r="F38" i="8" s="1"/>
  <c r="H40" i="8"/>
  <c r="H38" i="8" s="1"/>
  <c r="J40" i="8"/>
  <c r="P40" i="48" s="1"/>
  <c r="A41" i="8"/>
  <c r="A41" i="48" s="1"/>
  <c r="C41" i="8"/>
  <c r="D41" i="8"/>
  <c r="E41" i="8"/>
  <c r="F41" i="8"/>
  <c r="G41" i="8"/>
  <c r="H41" i="8"/>
  <c r="I41" i="8"/>
  <c r="O41" i="48" s="1"/>
  <c r="N41" i="48" s="1"/>
  <c r="J41" i="8"/>
  <c r="P41" i="48" s="1"/>
  <c r="K41" i="8"/>
  <c r="Q41" i="48" s="1"/>
  <c r="A42" i="8"/>
  <c r="A42" i="48" s="1"/>
  <c r="A43" i="8"/>
  <c r="A43" i="48" s="1"/>
  <c r="C43" i="8"/>
  <c r="E43" i="8"/>
  <c r="G43" i="8"/>
  <c r="A44" i="8"/>
  <c r="A44" i="48" s="1"/>
  <c r="D44" i="8"/>
  <c r="F44" i="8"/>
  <c r="H44" i="8"/>
  <c r="A45" i="8"/>
  <c r="A45" i="48" s="1"/>
  <c r="C45" i="8"/>
  <c r="E45" i="8"/>
  <c r="G45" i="8"/>
  <c r="A46" i="8"/>
  <c r="A46" i="48" s="1"/>
  <c r="C46" i="8"/>
  <c r="D46" i="8"/>
  <c r="E46" i="8"/>
  <c r="F46" i="8"/>
  <c r="G46" i="8"/>
  <c r="H46" i="8"/>
  <c r="A47" i="8"/>
  <c r="A47" i="48" s="1"/>
  <c r="C47" i="8"/>
  <c r="E47" i="8"/>
  <c r="G47" i="8"/>
  <c r="I47" i="8"/>
  <c r="O47" i="48" s="1"/>
  <c r="N47" i="48" s="1"/>
  <c r="K47" i="8"/>
  <c r="Q47" i="48" s="1"/>
  <c r="A48" i="8"/>
  <c r="A48" i="48" s="1"/>
  <c r="A49" i="8"/>
  <c r="A50" i="8"/>
  <c r="A2" i="7"/>
  <c r="B3" i="7"/>
  <c r="C3" i="7"/>
  <c r="D3" i="7"/>
  <c r="E3" i="7"/>
  <c r="F3" i="7"/>
  <c r="G3" i="7"/>
  <c r="H3" i="7"/>
  <c r="B7" i="7"/>
  <c r="C7" i="7"/>
  <c r="D7" i="7"/>
  <c r="E7" i="7"/>
  <c r="F7" i="7"/>
  <c r="G7" i="7"/>
  <c r="H7" i="7"/>
  <c r="B8" i="7"/>
  <c r="C8" i="7"/>
  <c r="D8" i="7"/>
  <c r="E8" i="7"/>
  <c r="F8" i="7"/>
  <c r="G8" i="7"/>
  <c r="H8" i="7"/>
  <c r="I8" i="7"/>
  <c r="D9" i="7"/>
  <c r="A10" i="7"/>
  <c r="B12" i="7"/>
  <c r="C12" i="7"/>
  <c r="D12" i="7"/>
  <c r="F100" i="29" s="1"/>
  <c r="E12" i="7"/>
  <c r="G100" i="29" s="1"/>
  <c r="F12" i="7"/>
  <c r="G12" i="7"/>
  <c r="H12" i="7"/>
  <c r="I12" i="7"/>
  <c r="K100" i="29" s="1"/>
  <c r="B14" i="7"/>
  <c r="C14" i="7"/>
  <c r="D14" i="7"/>
  <c r="E14" i="7"/>
  <c r="F14" i="7"/>
  <c r="G14" i="7"/>
  <c r="H14" i="7"/>
  <c r="I14" i="7"/>
  <c r="J14" i="7"/>
  <c r="K14" i="7"/>
  <c r="A18" i="7"/>
  <c r="A19" i="7"/>
  <c r="A20" i="7"/>
  <c r="B20" i="7"/>
  <c r="C20" i="7"/>
  <c r="D20" i="7"/>
  <c r="E20" i="7"/>
  <c r="F20" i="7"/>
  <c r="G20" i="7"/>
  <c r="H20" i="7"/>
  <c r="A22" i="7"/>
  <c r="A23" i="7"/>
  <c r="B23" i="7"/>
  <c r="C23" i="7"/>
  <c r="D23" i="7"/>
  <c r="E23" i="7"/>
  <c r="F23" i="7"/>
  <c r="G23" i="7"/>
  <c r="H23" i="7"/>
  <c r="I23" i="7"/>
  <c r="J23" i="7"/>
  <c r="K23" i="7"/>
  <c r="A24" i="7"/>
  <c r="B27" i="7"/>
  <c r="D112" i="29" s="1"/>
  <c r="G27" i="7"/>
  <c r="I112" i="29" s="1"/>
  <c r="B28" i="7"/>
  <c r="C28" i="7"/>
  <c r="D28" i="7"/>
  <c r="E28" i="7"/>
  <c r="F28" i="7"/>
  <c r="G28" i="7"/>
  <c r="H28" i="7"/>
  <c r="I28" i="7"/>
  <c r="K107" i="29" s="1"/>
  <c r="J28" i="7"/>
  <c r="L107" i="29" s="1"/>
  <c r="K28" i="7"/>
  <c r="M107" i="29" s="1"/>
  <c r="A29" i="7"/>
  <c r="B29" i="7"/>
  <c r="C29" i="7"/>
  <c r="D29" i="7"/>
  <c r="E29" i="7"/>
  <c r="F29" i="7"/>
  <c r="G29" i="7"/>
  <c r="H29" i="7"/>
  <c r="I29" i="7"/>
  <c r="J29" i="7"/>
  <c r="K29" i="7"/>
  <c r="A30" i="7"/>
  <c r="B30" i="7"/>
  <c r="B32" i="7" s="1"/>
  <c r="C30" i="7"/>
  <c r="D30" i="7"/>
  <c r="D32" i="7" s="1"/>
  <c r="E30" i="7"/>
  <c r="F30" i="7"/>
  <c r="F32" i="7" s="1"/>
  <c r="G30" i="7"/>
  <c r="H30" i="7"/>
  <c r="H32" i="7" s="1"/>
  <c r="I30" i="7"/>
  <c r="K106" i="29" s="1"/>
  <c r="J30" i="7"/>
  <c r="L106" i="29" s="1"/>
  <c r="K30" i="7"/>
  <c r="M106" i="29" s="1"/>
  <c r="A31" i="7"/>
  <c r="B31" i="7"/>
  <c r="C31" i="7"/>
  <c r="D31" i="7"/>
  <c r="E31" i="7"/>
  <c r="F31" i="7"/>
  <c r="G31" i="7"/>
  <c r="H31" i="7"/>
  <c r="I31" i="7"/>
  <c r="J31" i="7"/>
  <c r="K31" i="7"/>
  <c r="C32" i="7"/>
  <c r="E32" i="7"/>
  <c r="G32" i="7"/>
  <c r="K32" i="7"/>
  <c r="A35" i="7"/>
  <c r="E35" i="7"/>
  <c r="A36" i="7"/>
  <c r="B36" i="7"/>
  <c r="C36" i="7"/>
  <c r="D36" i="7"/>
  <c r="E36" i="7"/>
  <c r="F36" i="7"/>
  <c r="G36" i="7"/>
  <c r="H36" i="7"/>
  <c r="A37" i="7"/>
  <c r="C37" i="7"/>
  <c r="E37" i="7"/>
  <c r="G37" i="7"/>
  <c r="A38" i="7"/>
  <c r="B38" i="7"/>
  <c r="C38" i="7"/>
  <c r="D38" i="7"/>
  <c r="E38" i="7"/>
  <c r="F38" i="7"/>
  <c r="G38" i="7"/>
  <c r="H38" i="7"/>
  <c r="I38" i="7"/>
  <c r="B39" i="7"/>
  <c r="C39" i="7"/>
  <c r="D39" i="7"/>
  <c r="E39" i="7"/>
  <c r="F39" i="7"/>
  <c r="G39" i="7"/>
  <c r="H39" i="7"/>
  <c r="B42" i="7"/>
  <c r="C42" i="7"/>
  <c r="D42" i="7"/>
  <c r="E42" i="7"/>
  <c r="F42" i="7"/>
  <c r="G42" i="7"/>
  <c r="H42" i="7"/>
  <c r="B43" i="7"/>
  <c r="C43" i="7"/>
  <c r="D43" i="7"/>
  <c r="E43" i="7"/>
  <c r="F43" i="7"/>
  <c r="G43" i="7"/>
  <c r="H43" i="7"/>
  <c r="B44" i="7"/>
  <c r="C44" i="7"/>
  <c r="D44" i="7"/>
  <c r="E44" i="7"/>
  <c r="F44" i="7"/>
  <c r="G44" i="7"/>
  <c r="H44" i="7"/>
  <c r="I44" i="7"/>
  <c r="A45" i="7"/>
  <c r="A41" i="52" s="1"/>
  <c r="D45" i="7"/>
  <c r="H45" i="7"/>
  <c r="A48" i="7"/>
  <c r="A49" i="7"/>
  <c r="B53" i="7"/>
  <c r="C53" i="7"/>
  <c r="D53" i="7"/>
  <c r="E53" i="7"/>
  <c r="F53" i="7"/>
  <c r="G53" i="7"/>
  <c r="A54" i="7"/>
  <c r="B55" i="7"/>
  <c r="C55" i="7"/>
  <c r="D55" i="7"/>
  <c r="E55" i="7"/>
  <c r="F55" i="7"/>
  <c r="G55" i="7"/>
  <c r="H55" i="7"/>
  <c r="J55" i="7"/>
  <c r="L113" i="29" s="1"/>
  <c r="B56" i="7"/>
  <c r="C56" i="7"/>
  <c r="E56" i="7"/>
  <c r="F56" i="7"/>
  <c r="G56" i="7"/>
  <c r="B59" i="7"/>
  <c r="C59" i="7"/>
  <c r="D59" i="7"/>
  <c r="E59" i="7"/>
  <c r="F59" i="7"/>
  <c r="G59" i="7"/>
  <c r="I59" i="7"/>
  <c r="J59" i="7"/>
  <c r="K59" i="7"/>
  <c r="B60" i="7"/>
  <c r="C60" i="7"/>
  <c r="D60" i="7"/>
  <c r="E60" i="7"/>
  <c r="F60" i="7"/>
  <c r="G60" i="7"/>
  <c r="H60" i="7"/>
  <c r="J60" i="7"/>
  <c r="A62" i="7"/>
  <c r="B62" i="7"/>
  <c r="C62" i="7"/>
  <c r="D62" i="7"/>
  <c r="E62" i="7"/>
  <c r="F62" i="7"/>
  <c r="G62" i="7"/>
  <c r="H62" i="7"/>
  <c r="I62" i="7"/>
  <c r="J62" i="7"/>
  <c r="A63" i="7"/>
  <c r="B63" i="7"/>
  <c r="C63" i="7"/>
  <c r="D63" i="7"/>
  <c r="E63" i="7"/>
  <c r="F63" i="7"/>
  <c r="G63" i="7"/>
  <c r="H63" i="7"/>
  <c r="I63" i="7"/>
  <c r="J63" i="7"/>
  <c r="K63" i="7"/>
  <c r="A64" i="7"/>
  <c r="B64" i="7"/>
  <c r="C64" i="7"/>
  <c r="D64" i="7"/>
  <c r="E64" i="7"/>
  <c r="F64" i="7"/>
  <c r="G64" i="7"/>
  <c r="H64" i="7"/>
  <c r="I64" i="7"/>
  <c r="J64" i="7"/>
  <c r="K64" i="7"/>
  <c r="A65" i="7"/>
  <c r="B65" i="7"/>
  <c r="C65" i="7"/>
  <c r="D65" i="7"/>
  <c r="E65" i="7"/>
  <c r="F65" i="7"/>
  <c r="G65" i="7"/>
  <c r="H65" i="7"/>
  <c r="I65" i="7"/>
  <c r="J65" i="7"/>
  <c r="K65" i="7"/>
  <c r="A2" i="5"/>
  <c r="A6" i="14" s="1"/>
  <c r="A3" i="5"/>
  <c r="A17" i="14" s="1"/>
  <c r="A186" i="14" s="1"/>
  <c r="D3" i="5"/>
  <c r="A4" i="5"/>
  <c r="A28" i="14" s="1"/>
  <c r="A197" i="14" s="1"/>
  <c r="D4" i="5"/>
  <c r="A5" i="5"/>
  <c r="A38" i="11" s="1"/>
  <c r="D5" i="5"/>
  <c r="A6" i="5"/>
  <c r="A50" i="14" s="1"/>
  <c r="D6" i="5"/>
  <c r="A7" i="5"/>
  <c r="A61" i="14" s="1"/>
  <c r="A329" i="14" s="1"/>
  <c r="D7" i="5"/>
  <c r="A8" i="5"/>
  <c r="A72" i="14" s="1"/>
  <c r="D8" i="5"/>
  <c r="A9" i="5"/>
  <c r="A83" i="14" s="1"/>
  <c r="A351" i="14" s="1"/>
  <c r="D9" i="5"/>
  <c r="A10" i="5"/>
  <c r="A94" i="14" s="1"/>
  <c r="D10" i="5"/>
  <c r="A11" i="5"/>
  <c r="A105" i="14" s="1"/>
  <c r="A15" i="13" s="1"/>
  <c r="D11" i="5"/>
  <c r="A12" i="5"/>
  <c r="A104" i="11" s="1"/>
  <c r="D12" i="5"/>
  <c r="A13" i="5"/>
  <c r="A127" i="14" s="1"/>
  <c r="A17" i="13" s="1"/>
  <c r="A14" i="5"/>
  <c r="A138" i="14" s="1"/>
  <c r="A18" i="13" s="1"/>
  <c r="A17" i="49" s="1"/>
  <c r="D14" i="5"/>
  <c r="A15" i="5"/>
  <c r="A149" i="14" s="1"/>
  <c r="A415" i="14" s="1"/>
  <c r="D15" i="5"/>
  <c r="A16" i="5"/>
  <c r="A160" i="14" s="1"/>
  <c r="A20" i="13" s="1"/>
  <c r="A38" i="13" s="1"/>
  <c r="A37" i="49" s="1"/>
  <c r="D16" i="5"/>
  <c r="D17" i="5"/>
  <c r="D18" i="5"/>
  <c r="D19" i="5"/>
  <c r="D20" i="5"/>
  <c r="D21" i="5"/>
  <c r="D22" i="5"/>
  <c r="D23" i="5"/>
  <c r="D25" i="5"/>
  <c r="D26" i="5"/>
  <c r="D27" i="5"/>
  <c r="D28" i="5"/>
  <c r="D29" i="5"/>
  <c r="D30" i="5"/>
  <c r="D31" i="5"/>
  <c r="D32" i="5"/>
  <c r="D33" i="5"/>
  <c r="D34" i="5"/>
  <c r="D36" i="5"/>
  <c r="D37" i="5"/>
  <c r="D38" i="5"/>
  <c r="D39" i="5"/>
  <c r="D40" i="5"/>
  <c r="D41" i="5"/>
  <c r="D42" i="5"/>
  <c r="D43" i="5"/>
  <c r="D44" i="5"/>
  <c r="D45" i="5"/>
  <c r="D47" i="5"/>
  <c r="D48" i="5"/>
  <c r="D49" i="5"/>
  <c r="D50" i="5"/>
  <c r="D51" i="5"/>
  <c r="D52" i="5"/>
  <c r="D53" i="5"/>
  <c r="D54" i="5"/>
  <c r="D55" i="5"/>
  <c r="D56" i="5"/>
  <c r="D58" i="5"/>
  <c r="D59" i="5"/>
  <c r="D60" i="5"/>
  <c r="D61" i="5"/>
  <c r="D62" i="5"/>
  <c r="D63" i="5"/>
  <c r="D64" i="5"/>
  <c r="D65" i="5"/>
  <c r="D66" i="5"/>
  <c r="D67" i="5"/>
  <c r="D69" i="5"/>
  <c r="D70" i="5"/>
  <c r="D71" i="5"/>
  <c r="D72" i="5"/>
  <c r="D73" i="5"/>
  <c r="D74" i="5"/>
  <c r="D75" i="5"/>
  <c r="D76" i="5"/>
  <c r="D77" i="5"/>
  <c r="D78" i="5"/>
  <c r="D80" i="5"/>
  <c r="D81" i="5"/>
  <c r="D82" i="5"/>
  <c r="D83" i="5"/>
  <c r="D84" i="5"/>
  <c r="D85" i="5"/>
  <c r="D86" i="5"/>
  <c r="D87" i="5"/>
  <c r="D88" i="5"/>
  <c r="D89" i="5"/>
  <c r="D91" i="5"/>
  <c r="D92" i="5"/>
  <c r="D93" i="5"/>
  <c r="D94" i="5"/>
  <c r="D95" i="5"/>
  <c r="D96" i="5"/>
  <c r="D97" i="5"/>
  <c r="D98" i="5"/>
  <c r="D99" i="5"/>
  <c r="D100" i="5"/>
  <c r="D102" i="5"/>
  <c r="D103" i="5"/>
  <c r="D104" i="5"/>
  <c r="D105" i="5"/>
  <c r="D106" i="5"/>
  <c r="D107" i="5"/>
  <c r="D108" i="5"/>
  <c r="D109" i="5"/>
  <c r="D110" i="5"/>
  <c r="D111" i="5"/>
  <c r="D113" i="5"/>
  <c r="D114" i="5"/>
  <c r="D115" i="5"/>
  <c r="D116" i="5"/>
  <c r="D117" i="5"/>
  <c r="D118" i="5"/>
  <c r="D119" i="5"/>
  <c r="D120" i="5"/>
  <c r="D121" i="5"/>
  <c r="D122" i="5"/>
  <c r="D124" i="5"/>
  <c r="D125" i="5"/>
  <c r="D126" i="5"/>
  <c r="D127" i="5"/>
  <c r="D128" i="5"/>
  <c r="D129" i="5"/>
  <c r="D130" i="5"/>
  <c r="D131" i="5"/>
  <c r="D132" i="5"/>
  <c r="D133" i="5"/>
  <c r="D135" i="5"/>
  <c r="D136" i="5"/>
  <c r="D137" i="5"/>
  <c r="D138" i="5"/>
  <c r="D139" i="5"/>
  <c r="D140" i="5"/>
  <c r="D141" i="5"/>
  <c r="D142" i="5"/>
  <c r="D143" i="5"/>
  <c r="D144" i="5"/>
  <c r="D146" i="5"/>
  <c r="D147" i="5"/>
  <c r="D148" i="5"/>
  <c r="D149" i="5"/>
  <c r="D150" i="5"/>
  <c r="D151" i="5"/>
  <c r="D152" i="5"/>
  <c r="D153" i="5"/>
  <c r="D154" i="5"/>
  <c r="D155" i="5"/>
  <c r="D157" i="5"/>
  <c r="D158" i="5"/>
  <c r="D159" i="5"/>
  <c r="D160" i="5"/>
  <c r="D161" i="5"/>
  <c r="D162" i="5"/>
  <c r="D163" i="5"/>
  <c r="D164" i="5"/>
  <c r="D165" i="5"/>
  <c r="D166" i="5"/>
  <c r="A2" i="4"/>
  <c r="E2" i="4"/>
  <c r="F2" i="4"/>
  <c r="G2" i="4"/>
  <c r="H2" i="4"/>
  <c r="I2" i="4"/>
  <c r="J2" i="4"/>
  <c r="K2" i="4"/>
  <c r="L2" i="4"/>
  <c r="M2" i="4"/>
  <c r="N2" i="4"/>
  <c r="O2" i="4"/>
  <c r="A3" i="4"/>
  <c r="E3" i="4"/>
  <c r="F3" i="4"/>
  <c r="G3" i="4"/>
  <c r="H3" i="4"/>
  <c r="I3" i="4"/>
  <c r="J3" i="4"/>
  <c r="K3" i="4"/>
  <c r="L3" i="4"/>
  <c r="M3" i="4"/>
  <c r="N3" i="4"/>
  <c r="O3" i="4"/>
  <c r="A4" i="4"/>
  <c r="E4" i="4"/>
  <c r="F4" i="4"/>
  <c r="G4" i="4"/>
  <c r="H4" i="4"/>
  <c r="I4" i="4"/>
  <c r="J4" i="4"/>
  <c r="K4" i="4"/>
  <c r="L4" i="4"/>
  <c r="M4" i="4"/>
  <c r="N4" i="4"/>
  <c r="O4" i="4"/>
  <c r="A5" i="4"/>
  <c r="E5" i="4"/>
  <c r="F5" i="4"/>
  <c r="G5" i="4"/>
  <c r="H5" i="4"/>
  <c r="I5" i="4"/>
  <c r="J5" i="4"/>
  <c r="K5" i="4"/>
  <c r="L5" i="4"/>
  <c r="M5" i="4"/>
  <c r="N5" i="4"/>
  <c r="O5" i="4"/>
  <c r="A6" i="4"/>
  <c r="E6" i="4"/>
  <c r="F6" i="4"/>
  <c r="G6" i="4"/>
  <c r="H6" i="4"/>
  <c r="I6" i="4"/>
  <c r="J6" i="4"/>
  <c r="K6" i="4"/>
  <c r="L6" i="4"/>
  <c r="M6" i="4"/>
  <c r="N6" i="4"/>
  <c r="O6" i="4"/>
  <c r="A7" i="4"/>
  <c r="E7" i="4"/>
  <c r="F7" i="4"/>
  <c r="G7" i="4"/>
  <c r="H7" i="4"/>
  <c r="I7" i="4"/>
  <c r="J7" i="4"/>
  <c r="K7" i="4"/>
  <c r="L7" i="4"/>
  <c r="M7" i="4"/>
  <c r="N7" i="4"/>
  <c r="O7" i="4"/>
  <c r="A8" i="4"/>
  <c r="E8" i="4"/>
  <c r="F8" i="4"/>
  <c r="G8" i="4"/>
  <c r="H8" i="4"/>
  <c r="I8" i="4"/>
  <c r="J8" i="4"/>
  <c r="K8" i="4"/>
  <c r="L8" i="4"/>
  <c r="M8" i="4"/>
  <c r="N8" i="4"/>
  <c r="O8" i="4"/>
  <c r="A9" i="4"/>
  <c r="E9" i="4"/>
  <c r="F9" i="4"/>
  <c r="G9" i="4"/>
  <c r="H9" i="4"/>
  <c r="I9" i="4"/>
  <c r="J9" i="4"/>
  <c r="K9" i="4"/>
  <c r="L9" i="4"/>
  <c r="M9" i="4"/>
  <c r="N9" i="4"/>
  <c r="O9" i="4"/>
  <c r="A10" i="4"/>
  <c r="E10" i="4"/>
  <c r="F10" i="4"/>
  <c r="G10" i="4"/>
  <c r="H10" i="4"/>
  <c r="I10" i="4"/>
  <c r="J10" i="4"/>
  <c r="K10" i="4"/>
  <c r="L10" i="4"/>
  <c r="M10" i="4"/>
  <c r="N10" i="4"/>
  <c r="O10" i="4"/>
  <c r="A11" i="4"/>
  <c r="E11" i="4"/>
  <c r="F11" i="4"/>
  <c r="G11" i="4"/>
  <c r="H11" i="4"/>
  <c r="I11" i="4"/>
  <c r="J11" i="4"/>
  <c r="K11" i="4"/>
  <c r="L11" i="4"/>
  <c r="M11" i="4"/>
  <c r="N11" i="4"/>
  <c r="O11" i="4"/>
  <c r="A12" i="4"/>
  <c r="E12" i="4"/>
  <c r="F12" i="4"/>
  <c r="G12" i="4"/>
  <c r="H12" i="4"/>
  <c r="I12" i="4"/>
  <c r="J12" i="4"/>
  <c r="K12" i="4"/>
  <c r="L12" i="4"/>
  <c r="M12" i="4"/>
  <c r="N12" i="4"/>
  <c r="O12" i="4"/>
  <c r="A13" i="4"/>
  <c r="E13" i="4"/>
  <c r="F13" i="4"/>
  <c r="G13" i="4"/>
  <c r="H13" i="4"/>
  <c r="I13" i="4"/>
  <c r="J13" i="4"/>
  <c r="K13" i="4"/>
  <c r="L13" i="4"/>
  <c r="M13" i="4"/>
  <c r="N13" i="4"/>
  <c r="O13" i="4"/>
  <c r="A14" i="4"/>
  <c r="E14" i="4"/>
  <c r="F14" i="4"/>
  <c r="G14" i="4"/>
  <c r="H14" i="4"/>
  <c r="I14" i="4"/>
  <c r="J14" i="4"/>
  <c r="K14" i="4"/>
  <c r="L14" i="4"/>
  <c r="M14" i="4"/>
  <c r="N14" i="4"/>
  <c r="O14" i="4"/>
  <c r="A15" i="4"/>
  <c r="E15" i="4"/>
  <c r="F15" i="4"/>
  <c r="G15" i="4"/>
  <c r="H15" i="4"/>
  <c r="I15" i="4"/>
  <c r="J15" i="4"/>
  <c r="K15" i="4"/>
  <c r="L15" i="4"/>
  <c r="M15" i="4"/>
  <c r="N15" i="4"/>
  <c r="O15" i="4"/>
  <c r="A16" i="4"/>
  <c r="E16" i="4"/>
  <c r="F16" i="4"/>
  <c r="G16" i="4"/>
  <c r="H16" i="4"/>
  <c r="I16" i="4"/>
  <c r="J16" i="4"/>
  <c r="K16" i="4"/>
  <c r="L16" i="4"/>
  <c r="M16" i="4"/>
  <c r="N16" i="4"/>
  <c r="O16" i="4"/>
  <c r="A17" i="4"/>
  <c r="E17" i="4"/>
  <c r="F17" i="4"/>
  <c r="G17" i="4"/>
  <c r="H17" i="4"/>
  <c r="I17" i="4"/>
  <c r="J17" i="4"/>
  <c r="K17" i="4"/>
  <c r="L17" i="4"/>
  <c r="M17" i="4"/>
  <c r="N17" i="4"/>
  <c r="O17" i="4"/>
  <c r="A18" i="4"/>
  <c r="E18" i="4"/>
  <c r="F18" i="4"/>
  <c r="G18" i="4"/>
  <c r="H18" i="4"/>
  <c r="I18" i="4"/>
  <c r="J18" i="4"/>
  <c r="K18" i="4"/>
  <c r="L18" i="4"/>
  <c r="M18" i="4"/>
  <c r="N18" i="4"/>
  <c r="O18" i="4"/>
  <c r="A19" i="4"/>
  <c r="E19" i="4"/>
  <c r="F19" i="4"/>
  <c r="G19" i="4"/>
  <c r="H19" i="4"/>
  <c r="I19" i="4"/>
  <c r="J19" i="4"/>
  <c r="K19" i="4"/>
  <c r="L19" i="4"/>
  <c r="M19" i="4"/>
  <c r="N19" i="4"/>
  <c r="O19" i="4"/>
  <c r="A20" i="4"/>
  <c r="E20" i="4"/>
  <c r="F20" i="4"/>
  <c r="G20" i="4"/>
  <c r="H20" i="4"/>
  <c r="I20" i="4"/>
  <c r="J20" i="4"/>
  <c r="K20" i="4"/>
  <c r="L20" i="4"/>
  <c r="M20" i="4"/>
  <c r="N20" i="4"/>
  <c r="O20" i="4"/>
  <c r="A21" i="4"/>
  <c r="E21" i="4"/>
  <c r="F21" i="4"/>
  <c r="G21" i="4"/>
  <c r="H21" i="4"/>
  <c r="I21" i="4"/>
  <c r="J21" i="4"/>
  <c r="K21" i="4"/>
  <c r="L21" i="4"/>
  <c r="M21" i="4"/>
  <c r="N21" i="4"/>
  <c r="O21" i="4"/>
  <c r="A22" i="4"/>
  <c r="E22" i="4"/>
  <c r="F22" i="4"/>
  <c r="G22" i="4"/>
  <c r="H22" i="4"/>
  <c r="I22" i="4"/>
  <c r="J22" i="4"/>
  <c r="K22" i="4"/>
  <c r="L22" i="4"/>
  <c r="M22" i="4"/>
  <c r="N22" i="4"/>
  <c r="O22" i="4"/>
  <c r="E23" i="4"/>
  <c r="F23" i="4"/>
  <c r="G23" i="4"/>
  <c r="H23" i="4"/>
  <c r="I23" i="4"/>
  <c r="J23" i="4"/>
  <c r="K23" i="4"/>
  <c r="L23" i="4"/>
  <c r="M23" i="4"/>
  <c r="N23" i="4"/>
  <c r="O23" i="4"/>
  <c r="A24" i="4"/>
  <c r="E24" i="4"/>
  <c r="F24" i="4"/>
  <c r="G24" i="4"/>
  <c r="H24" i="4"/>
  <c r="I24" i="4"/>
  <c r="J24" i="4"/>
  <c r="K24" i="4"/>
  <c r="L24" i="4"/>
  <c r="M24" i="4"/>
  <c r="N24" i="4"/>
  <c r="O24" i="4"/>
  <c r="B28" i="4"/>
  <c r="B308" i="4"/>
  <c r="B93" i="3"/>
  <c r="A95" i="3"/>
  <c r="E100" i="3"/>
  <c r="F100" i="3"/>
  <c r="B100" i="3" s="1"/>
  <c r="E101" i="3"/>
  <c r="F101" i="3"/>
  <c r="B101" i="3" s="1"/>
  <c r="E102" i="3"/>
  <c r="F102" i="3"/>
  <c r="B102" i="3" s="1"/>
  <c r="E103" i="3"/>
  <c r="F103" i="3"/>
  <c r="E104" i="3"/>
  <c r="F104" i="3"/>
  <c r="B104" i="3" s="1"/>
  <c r="E105" i="3"/>
  <c r="F105" i="3"/>
  <c r="A78" i="22" s="1"/>
  <c r="E106" i="3"/>
  <c r="F106" i="3"/>
  <c r="B106" i="3" s="1"/>
  <c r="E107" i="3"/>
  <c r="F107" i="3"/>
  <c r="B107" i="3" s="1"/>
  <c r="E108" i="3"/>
  <c r="F108" i="3"/>
  <c r="B108" i="3" s="1"/>
  <c r="E109" i="3"/>
  <c r="F109" i="3"/>
  <c r="B109" i="3" s="1"/>
  <c r="C110" i="3"/>
  <c r="D110" i="3"/>
  <c r="B111" i="3"/>
  <c r="E112" i="3"/>
  <c r="F112" i="3"/>
  <c r="B112" i="3" s="1"/>
  <c r="B113" i="3"/>
  <c r="B114" i="3"/>
  <c r="B115" i="3"/>
  <c r="B116" i="3"/>
  <c r="B117" i="3"/>
  <c r="B118" i="3"/>
  <c r="B119" i="3"/>
  <c r="B120" i="3"/>
  <c r="B121" i="3"/>
  <c r="B122" i="3"/>
  <c r="B123" i="3"/>
  <c r="B124" i="3"/>
  <c r="B125" i="3"/>
  <c r="B126" i="3"/>
  <c r="B127" i="3"/>
  <c r="B128" i="3"/>
  <c r="B129" i="3"/>
  <c r="B130" i="3"/>
  <c r="B131" i="3"/>
  <c r="B132" i="3"/>
  <c r="B133" i="3"/>
  <c r="B134" i="3"/>
  <c r="B135" i="3"/>
  <c r="B136" i="3"/>
  <c r="E137" i="3"/>
  <c r="F137" i="3"/>
  <c r="B137" i="3" s="1"/>
  <c r="E138" i="3"/>
  <c r="F138" i="3"/>
  <c r="B138" i="3" s="1"/>
  <c r="E139" i="3"/>
  <c r="F139" i="3"/>
  <c r="B139" i="3" s="1"/>
  <c r="E140" i="3"/>
  <c r="F140" i="3"/>
  <c r="B140" i="3" s="1"/>
  <c r="E141" i="3"/>
  <c r="F141" i="3"/>
  <c r="B141" i="3" s="1"/>
  <c r="E142" i="3"/>
  <c r="F142" i="3"/>
  <c r="B142" i="3" s="1"/>
  <c r="B143" i="3"/>
  <c r="E143" i="3"/>
  <c r="B144" i="3"/>
  <c r="B145" i="3"/>
  <c r="E146" i="3"/>
  <c r="F146" i="3"/>
  <c r="B146" i="3" s="1"/>
  <c r="E147" i="3"/>
  <c r="F147" i="3"/>
  <c r="B147" i="3" s="1"/>
  <c r="E148" i="3"/>
  <c r="F148" i="3"/>
  <c r="B148" i="3" s="1"/>
  <c r="E149" i="3"/>
  <c r="F149" i="3"/>
  <c r="B149" i="3" s="1"/>
  <c r="E150" i="3"/>
  <c r="F150" i="3"/>
  <c r="B150" i="3" s="1"/>
  <c r="E151" i="3"/>
  <c r="F151" i="3"/>
  <c r="B151" i="3" s="1"/>
  <c r="E152" i="3"/>
  <c r="F152" i="3"/>
  <c r="B152" i="3" s="1"/>
  <c r="B155" i="3"/>
  <c r="B156" i="3"/>
  <c r="B157" i="3"/>
  <c r="B158" i="3"/>
  <c r="B159" i="3"/>
  <c r="B160" i="3"/>
  <c r="B161" i="3"/>
  <c r="B162" i="3"/>
  <c r="B163" i="3"/>
  <c r="B164" i="3"/>
  <c r="B165" i="3"/>
  <c r="B166" i="3"/>
  <c r="B167" i="3"/>
  <c r="B168" i="3"/>
  <c r="B169" i="3"/>
  <c r="B170" i="3"/>
  <c r="B171" i="3"/>
  <c r="B172" i="3"/>
  <c r="B173" i="3"/>
  <c r="B174" i="3"/>
  <c r="B175" i="3"/>
  <c r="B176" i="3"/>
  <c r="B177" i="3"/>
  <c r="X34" i="2"/>
  <c r="B2" i="3" s="1"/>
  <c r="J39" i="16"/>
  <c r="I20" i="7"/>
  <c r="R16" i="21"/>
  <c r="J74" i="11"/>
  <c r="J11" i="10" s="1"/>
  <c r="P11" i="47" s="1"/>
  <c r="O36" i="21"/>
  <c r="P22" i="21"/>
  <c r="O38" i="21"/>
  <c r="O42" i="21" s="1"/>
  <c r="G22" i="21"/>
  <c r="G38" i="21" s="1"/>
  <c r="G42" i="21" s="1"/>
  <c r="L11" i="17"/>
  <c r="L38" i="22"/>
  <c r="L32" i="15" s="1"/>
  <c r="K38" i="22"/>
  <c r="K32" i="15"/>
  <c r="K34" i="15" s="1"/>
  <c r="K9" i="22"/>
  <c r="K7" i="15" s="1"/>
  <c r="K53" i="29"/>
  <c r="L36" i="21"/>
  <c r="L38" i="21" s="1"/>
  <c r="L42" i="21" s="1"/>
  <c r="J661" i="11"/>
  <c r="J36" i="10" s="1"/>
  <c r="P36" i="47" s="1"/>
  <c r="K661" i="11"/>
  <c r="K100" i="9" s="1"/>
  <c r="K95" i="9" s="1"/>
  <c r="K35" i="8" s="1"/>
  <c r="Q35" i="48" s="1"/>
  <c r="C35" i="10"/>
  <c r="H455" i="11"/>
  <c r="H164" i="11"/>
  <c r="H156" i="11" s="1"/>
  <c r="D153" i="11"/>
  <c r="H38" i="11"/>
  <c r="H8" i="10" s="1"/>
  <c r="K38" i="11"/>
  <c r="G412" i="11"/>
  <c r="G29" i="10" s="1"/>
  <c r="H426" i="11"/>
  <c r="H412" i="11" s="1"/>
  <c r="H29" i="10" s="1"/>
  <c r="H253" i="11"/>
  <c r="H252" i="11" s="1"/>
  <c r="H25" i="10" s="1"/>
  <c r="G134" i="11"/>
  <c r="G18" i="10"/>
  <c r="H137" i="11"/>
  <c r="C153" i="11"/>
  <c r="F5" i="10"/>
  <c r="G541" i="11"/>
  <c r="G34" i="10" s="1"/>
  <c r="G497" i="11"/>
  <c r="G32" i="10" s="1"/>
  <c r="H498" i="11"/>
  <c r="G349" i="11"/>
  <c r="G27" i="10" s="1"/>
  <c r="G217" i="11"/>
  <c r="G24" i="10" s="1"/>
  <c r="H86" i="11"/>
  <c r="H85" i="11" s="1"/>
  <c r="H13" i="10" s="1"/>
  <c r="G74" i="11"/>
  <c r="G11" i="10"/>
  <c r="H75" i="11"/>
  <c r="I7" i="39"/>
  <c r="I27" i="39" s="1"/>
  <c r="I217" i="11"/>
  <c r="I77" i="9" s="1"/>
  <c r="I19" i="9"/>
  <c r="J19" i="9" s="1"/>
  <c r="I59" i="41"/>
  <c r="K12" i="62"/>
  <c r="K74" i="11"/>
  <c r="K64" i="9" s="1"/>
  <c r="K63" i="9" s="1"/>
  <c r="K23" i="8" s="1"/>
  <c r="Q23" i="48" s="1"/>
  <c r="J349" i="11"/>
  <c r="J27" i="10" s="1"/>
  <c r="P27" i="47" s="1"/>
  <c r="K60" i="11"/>
  <c r="K40" i="9" s="1"/>
  <c r="K9" i="10"/>
  <c r="Q9" i="47" s="1"/>
  <c r="K497" i="11"/>
  <c r="K130" i="9" s="1"/>
  <c r="J497" i="11"/>
  <c r="J130" i="9" s="1"/>
  <c r="K433" i="11"/>
  <c r="K124" i="9" s="1"/>
  <c r="K122" i="9" s="1"/>
  <c r="K43" i="8" s="1"/>
  <c r="Q43" i="48" s="1"/>
  <c r="J433" i="11"/>
  <c r="J30" i="10" s="1"/>
  <c r="P30" i="47" s="1"/>
  <c r="K412" i="11"/>
  <c r="K133" i="9" s="1"/>
  <c r="K132" i="9" s="1"/>
  <c r="K46" i="8" s="1"/>
  <c r="Q46" i="48" s="1"/>
  <c r="J412" i="11"/>
  <c r="J29" i="10" s="1"/>
  <c r="P29" i="47" s="1"/>
  <c r="J60" i="11"/>
  <c r="J9" i="10"/>
  <c r="P9" i="47" s="1"/>
  <c r="F5" i="21"/>
  <c r="R5" i="21" s="1"/>
  <c r="I38" i="11"/>
  <c r="I8" i="10" s="1"/>
  <c r="O8" i="47" s="1"/>
  <c r="N8" i="47" s="1"/>
  <c r="K60" i="41"/>
  <c r="E52" i="41"/>
  <c r="H60" i="41"/>
  <c r="F52" i="41"/>
  <c r="F60" i="41"/>
  <c r="K52" i="41"/>
  <c r="J60" i="41"/>
  <c r="I52" i="62"/>
  <c r="K51" i="55"/>
  <c r="K15" i="18" s="1"/>
  <c r="K45" i="18" s="1"/>
  <c r="K30" i="43"/>
  <c r="J47" i="40"/>
  <c r="I32" i="7"/>
  <c r="L24" i="15"/>
  <c r="K36" i="7" s="1"/>
  <c r="M110" i="29"/>
  <c r="M109" i="29"/>
  <c r="M108" i="29"/>
  <c r="J32" i="7"/>
  <c r="I128" i="9"/>
  <c r="I45" i="8" s="1"/>
  <c r="O45" i="48" s="1"/>
  <c r="N45" i="48" s="1"/>
  <c r="J7" i="20"/>
  <c r="J9" i="20" s="1"/>
  <c r="J5" i="12" s="1"/>
  <c r="H434" i="11"/>
  <c r="I541" i="11"/>
  <c r="I34" i="10" s="1"/>
  <c r="O34" i="47" s="1"/>
  <c r="N34" i="47" s="1"/>
  <c r="G591" i="11"/>
  <c r="G35" i="10" s="1"/>
  <c r="H662" i="11"/>
  <c r="I691" i="11"/>
  <c r="I37" i="10" s="1"/>
  <c r="O37" i="47" s="1"/>
  <c r="N37" i="47" s="1"/>
  <c r="I591" i="11"/>
  <c r="I92" i="9" s="1"/>
  <c r="I17" i="10"/>
  <c r="O17" i="47" s="1"/>
  <c r="N17" i="47" s="1"/>
  <c r="I11" i="10"/>
  <c r="O11" i="47" s="1"/>
  <c r="N11" i="47" s="1"/>
  <c r="J134" i="11"/>
  <c r="J18" i="10" s="1"/>
  <c r="P18" i="47" s="1"/>
  <c r="G120" i="11"/>
  <c r="G17" i="10" s="1"/>
  <c r="H121" i="11"/>
  <c r="H120" i="11" s="1"/>
  <c r="H17" i="10" s="1"/>
  <c r="I30" i="39"/>
  <c r="I45" i="39" s="1"/>
  <c r="K126" i="29"/>
  <c r="K17" i="12"/>
  <c r="L17" i="12" s="1"/>
  <c r="Q17" i="46" s="1"/>
  <c r="K82" i="11"/>
  <c r="K81" i="11"/>
  <c r="K55" i="9" s="1"/>
  <c r="K53" i="9" s="1"/>
  <c r="K20" i="8" s="1"/>
  <c r="Q20" i="48" s="1"/>
  <c r="J81" i="11"/>
  <c r="J12" i="10"/>
  <c r="P12" i="47" s="1"/>
  <c r="J7" i="39"/>
  <c r="J27" i="39" s="1"/>
  <c r="N5" i="47"/>
  <c r="L33" i="42"/>
  <c r="L34" i="42"/>
  <c r="K33" i="42"/>
  <c r="K34" i="42"/>
  <c r="K14" i="12"/>
  <c r="L14" i="12" s="1"/>
  <c r="O14" i="46"/>
  <c r="N14" i="46" s="1"/>
  <c r="K88" i="11"/>
  <c r="K85" i="11" s="1"/>
  <c r="K57" i="9" s="1"/>
  <c r="K56" i="9" s="1"/>
  <c r="K21" i="8" s="1"/>
  <c r="Q21" i="48" s="1"/>
  <c r="J85" i="11"/>
  <c r="J13" i="10" s="1"/>
  <c r="P13" i="47" s="1"/>
  <c r="K122" i="11"/>
  <c r="K156" i="11"/>
  <c r="K76" i="9" s="1"/>
  <c r="J33" i="42"/>
  <c r="J34" i="42" s="1"/>
  <c r="J87" i="20" s="1"/>
  <c r="K38" i="9"/>
  <c r="K16" i="8" s="1"/>
  <c r="K18" i="12"/>
  <c r="L18" i="12" s="1"/>
  <c r="Q18" i="46" s="1"/>
  <c r="O18" i="46"/>
  <c r="N18" i="46" s="1"/>
  <c r="K39" i="12"/>
  <c r="L39" i="12" s="1"/>
  <c r="K20" i="7" s="1"/>
  <c r="O39" i="46"/>
  <c r="N39" i="46"/>
  <c r="K27" i="12"/>
  <c r="P27" i="46" s="1"/>
  <c r="I22" i="21"/>
  <c r="I38" i="21" s="1"/>
  <c r="I42" i="21" s="1"/>
  <c r="I23" i="10"/>
  <c r="O23" i="47" s="1"/>
  <c r="N23" i="47" s="1"/>
  <c r="J156" i="11"/>
  <c r="J23" i="10" s="1"/>
  <c r="P23" i="47" s="1"/>
  <c r="H62" i="11"/>
  <c r="K108" i="29"/>
  <c r="K109" i="29"/>
  <c r="K110" i="29"/>
  <c r="L108" i="29"/>
  <c r="L109" i="29"/>
  <c r="L114" i="29"/>
  <c r="L110" i="29"/>
  <c r="L126" i="29"/>
  <c r="I80" i="9"/>
  <c r="I79" i="9" s="1"/>
  <c r="I31" i="8" s="1"/>
  <c r="O31" i="48" s="1"/>
  <c r="N31" i="48" s="1"/>
  <c r="J30" i="39"/>
  <c r="J45" i="39" s="1"/>
  <c r="L87" i="20"/>
  <c r="J66" i="42"/>
  <c r="K87" i="20"/>
  <c r="M126" i="29"/>
  <c r="K7" i="39"/>
  <c r="K27" i="39" s="1"/>
  <c r="Q39" i="46"/>
  <c r="K15" i="8"/>
  <c r="Q15" i="48" s="1"/>
  <c r="Q16" i="48"/>
  <c r="D35" i="44"/>
  <c r="J51" i="58"/>
  <c r="I75" i="18"/>
  <c r="I69" i="18" s="1"/>
  <c r="J10" i="57"/>
  <c r="J71" i="18" s="1"/>
  <c r="K58" i="29"/>
  <c r="I55" i="7"/>
  <c r="I6" i="57"/>
  <c r="I77" i="57" s="1"/>
  <c r="K70" i="18"/>
  <c r="A7" i="13"/>
  <c r="A25" i="13" s="1"/>
  <c r="A24" i="49" s="1"/>
  <c r="A404" i="14"/>
  <c r="H10" i="13"/>
  <c r="I7" i="13"/>
  <c r="U39" i="14"/>
  <c r="J164" i="14"/>
  <c r="L19" i="10"/>
  <c r="A36" i="13"/>
  <c r="A35" i="49" s="1"/>
  <c r="K119" i="14"/>
  <c r="K106" i="14"/>
  <c r="A373" i="14"/>
  <c r="K86" i="14"/>
  <c r="U149" i="14"/>
  <c r="U50" i="14"/>
  <c r="J18" i="14"/>
  <c r="L6" i="14"/>
  <c r="I15" i="18"/>
  <c r="I45" i="18" s="1"/>
  <c r="C38" i="47"/>
  <c r="C40" i="47" s="1"/>
  <c r="C45" i="47" s="1"/>
  <c r="K113" i="29"/>
  <c r="K114" i="29"/>
  <c r="L42" i="29" l="1"/>
  <c r="P14" i="46"/>
  <c r="P18" i="46"/>
  <c r="J42" i="29"/>
  <c r="F42" i="29"/>
  <c r="C48" i="48"/>
  <c r="I48" i="48"/>
  <c r="M48" i="48"/>
  <c r="K48" i="48"/>
  <c r="G48" i="48"/>
  <c r="E48" i="48"/>
  <c r="E25" i="48"/>
  <c r="K25" i="48"/>
  <c r="K26" i="48" s="1"/>
  <c r="I25" i="48"/>
  <c r="G25" i="48"/>
  <c r="G26" i="48" s="1"/>
  <c r="M25" i="48"/>
  <c r="M50" i="48" s="1"/>
  <c r="M53" i="48" s="1"/>
  <c r="M40" i="47"/>
  <c r="M45" i="47" s="1"/>
  <c r="K40" i="47"/>
  <c r="K45" i="47" s="1"/>
  <c r="I40" i="47"/>
  <c r="I45" i="47" s="1"/>
  <c r="G40" i="47"/>
  <c r="G45" i="47" s="1"/>
  <c r="E40" i="47"/>
  <c r="E45" i="47" s="1"/>
  <c r="L40" i="47"/>
  <c r="L45" i="47" s="1"/>
  <c r="H40" i="47"/>
  <c r="H45" i="47" s="1"/>
  <c r="D40" i="47"/>
  <c r="D45" i="47" s="1"/>
  <c r="M38" i="46"/>
  <c r="M42" i="46" s="1"/>
  <c r="M46" i="46" s="1"/>
  <c r="K38" i="46"/>
  <c r="K42" i="46" s="1"/>
  <c r="K46" i="46" s="1"/>
  <c r="I38" i="46"/>
  <c r="I42" i="46" s="1"/>
  <c r="I46" i="46" s="1"/>
  <c r="G38" i="46"/>
  <c r="G42" i="46" s="1"/>
  <c r="G46" i="46" s="1"/>
  <c r="E38" i="46"/>
  <c r="E42" i="46" s="1"/>
  <c r="E46" i="46" s="1"/>
  <c r="J38" i="46"/>
  <c r="J42" i="46" s="1"/>
  <c r="J46" i="46" s="1"/>
  <c r="H38" i="46"/>
  <c r="H42" i="46" s="1"/>
  <c r="H46" i="46" s="1"/>
  <c r="F38" i="46"/>
  <c r="F42" i="46" s="1"/>
  <c r="F46" i="46" s="1"/>
  <c r="C38" i="46"/>
  <c r="C42" i="46" s="1"/>
  <c r="C46" i="46" s="1"/>
  <c r="L55" i="29"/>
  <c r="I84" i="29" s="1"/>
  <c r="M55" i="29"/>
  <c r="J84" i="29" s="1"/>
  <c r="K35" i="17"/>
  <c r="L15" i="29"/>
  <c r="M107" i="28"/>
  <c r="K95" i="19" s="1"/>
  <c r="K107" i="28"/>
  <c r="I95" i="19" s="1"/>
  <c r="L34" i="15"/>
  <c r="J34" i="15"/>
  <c r="M15" i="29"/>
  <c r="I48" i="43"/>
  <c r="L10" i="62"/>
  <c r="L52" i="51"/>
  <c r="C54" i="51"/>
  <c r="E54" i="51"/>
  <c r="E64" i="51" s="1"/>
  <c r="H52" i="51"/>
  <c r="H54" i="51" s="1"/>
  <c r="H64" i="51" s="1"/>
  <c r="J52" i="51"/>
  <c r="J54" i="51" s="1"/>
  <c r="J64" i="51" s="1"/>
  <c r="I54" i="51"/>
  <c r="I64" i="51" s="1"/>
  <c r="I63" i="51"/>
  <c r="B54" i="51"/>
  <c r="B56" i="51" s="1"/>
  <c r="C55" i="51" s="1"/>
  <c r="M17" i="62"/>
  <c r="K17" i="62"/>
  <c r="J454" i="11"/>
  <c r="J31" i="10" s="1"/>
  <c r="P31" i="47" s="1"/>
  <c r="J76" i="9"/>
  <c r="I75" i="9"/>
  <c r="I29" i="8" s="1"/>
  <c r="J17" i="29"/>
  <c r="H56" i="7"/>
  <c r="K17" i="29"/>
  <c r="I56" i="7"/>
  <c r="K55" i="57"/>
  <c r="J51" i="57"/>
  <c r="J79" i="18" s="1"/>
  <c r="K15" i="57"/>
  <c r="K14" i="57" s="1"/>
  <c r="J14" i="57"/>
  <c r="J72" i="18" s="1"/>
  <c r="J75" i="18"/>
  <c r="J6" i="57"/>
  <c r="J77" i="57" s="1"/>
  <c r="K51" i="57"/>
  <c r="K79" i="18" s="1"/>
  <c r="F11" i="44"/>
  <c r="I14" i="44"/>
  <c r="I15" i="44"/>
  <c r="J100" i="9"/>
  <c r="J95" i="9" s="1"/>
  <c r="J35" i="8" s="1"/>
  <c r="P35" i="48" s="1"/>
  <c r="I33" i="10"/>
  <c r="O33" i="47" s="1"/>
  <c r="N33" i="47" s="1"/>
  <c r="I31" i="10"/>
  <c r="O31" i="47" s="1"/>
  <c r="N31" i="47" s="1"/>
  <c r="J124" i="9"/>
  <c r="J122" i="9" s="1"/>
  <c r="J43" i="8" s="1"/>
  <c r="P43" i="48" s="1"/>
  <c r="I30" i="10"/>
  <c r="O30" i="47" s="1"/>
  <c r="N30" i="47" s="1"/>
  <c r="J12" i="12"/>
  <c r="Q12" i="21"/>
  <c r="Q22" i="21" s="1"/>
  <c r="Q38" i="21" s="1"/>
  <c r="Q42" i="21" s="1"/>
  <c r="R12" i="21"/>
  <c r="K26" i="62"/>
  <c r="K23" i="62" s="1"/>
  <c r="K19" i="10"/>
  <c r="Q19" i="47" s="1"/>
  <c r="K11" i="10"/>
  <c r="Q11" i="47" s="1"/>
  <c r="L13" i="12"/>
  <c r="Q13" i="46" s="1"/>
  <c r="O13" i="46"/>
  <c r="N13" i="46" s="1"/>
  <c r="J7" i="7"/>
  <c r="I7" i="7"/>
  <c r="I5" i="44"/>
  <c r="N38" i="21"/>
  <c r="N42" i="21" s="1"/>
  <c r="I104" i="43"/>
  <c r="J45" i="43"/>
  <c r="J104" i="43" s="1"/>
  <c r="C25" i="41"/>
  <c r="E27" i="39"/>
  <c r="K60" i="7"/>
  <c r="D25" i="12"/>
  <c r="C11" i="7" s="1"/>
  <c r="I25" i="12"/>
  <c r="H11" i="7" s="1"/>
  <c r="L27" i="12"/>
  <c r="Q27" i="46" s="1"/>
  <c r="H35" i="62"/>
  <c r="G25" i="12"/>
  <c r="F11" i="7" s="1"/>
  <c r="K160" i="20"/>
  <c r="H40" i="62"/>
  <c r="F17" i="7"/>
  <c r="J89" i="20"/>
  <c r="J33" i="12" s="1"/>
  <c r="O33" i="46" s="1"/>
  <c r="N33" i="46" s="1"/>
  <c r="F89" i="20"/>
  <c r="F33" i="12" s="1"/>
  <c r="E16" i="7" s="1"/>
  <c r="I22" i="12"/>
  <c r="I8" i="27" s="1"/>
  <c r="O10" i="46"/>
  <c r="N10" i="46" s="1"/>
  <c r="K21" i="7"/>
  <c r="B17" i="7"/>
  <c r="H5" i="7"/>
  <c r="J38" i="62"/>
  <c r="H15" i="7"/>
  <c r="H38" i="62"/>
  <c r="F15" i="7"/>
  <c r="F38" i="62"/>
  <c r="F37" i="62" s="1"/>
  <c r="D15" i="7"/>
  <c r="D38" i="62"/>
  <c r="D37" i="62" s="1"/>
  <c r="B15" i="7"/>
  <c r="K35" i="62"/>
  <c r="K34" i="62" s="1"/>
  <c r="J25" i="12"/>
  <c r="I35" i="62"/>
  <c r="I34" i="62" s="1"/>
  <c r="I42" i="62" s="1"/>
  <c r="H25" i="12"/>
  <c r="G11" i="7" s="1"/>
  <c r="J97" i="29" s="1"/>
  <c r="G35" i="62"/>
  <c r="G34" i="62" s="1"/>
  <c r="G42" i="62" s="1"/>
  <c r="F25" i="12"/>
  <c r="E11" i="7" s="1"/>
  <c r="G99" i="29" s="1"/>
  <c r="D35" i="62"/>
  <c r="D34" i="62" s="1"/>
  <c r="D42" i="62" s="1"/>
  <c r="C25" i="12"/>
  <c r="B11" i="7" s="1"/>
  <c r="G49" i="29"/>
  <c r="H41" i="29" s="1"/>
  <c r="E6" i="7"/>
  <c r="E10" i="7" s="1"/>
  <c r="G86" i="29" s="1"/>
  <c r="K41" i="29"/>
  <c r="M49" i="29"/>
  <c r="K30" i="20"/>
  <c r="K10" i="12" s="1"/>
  <c r="P10" i="46" s="1"/>
  <c r="I21" i="7"/>
  <c r="H17" i="7"/>
  <c r="D17" i="7"/>
  <c r="J54" i="29"/>
  <c r="J10" i="29" s="1"/>
  <c r="H54" i="29"/>
  <c r="H10" i="29" s="1"/>
  <c r="F54" i="29"/>
  <c r="F10" i="29" s="1"/>
  <c r="E36" i="17" s="1"/>
  <c r="D54" i="29"/>
  <c r="D10" i="29" s="1"/>
  <c r="G6" i="7"/>
  <c r="G10" i="7" s="1"/>
  <c r="I86" i="29" s="1"/>
  <c r="C6" i="7"/>
  <c r="C10" i="7" s="1"/>
  <c r="E86" i="29" s="1"/>
  <c r="E22" i="12"/>
  <c r="E60" i="12" s="1"/>
  <c r="G26" i="23" s="1"/>
  <c r="E97" i="29"/>
  <c r="G22" i="12"/>
  <c r="G8" i="27" s="1"/>
  <c r="C22" i="12"/>
  <c r="C60" i="12" s="1"/>
  <c r="C715" i="11" s="1"/>
  <c r="L36" i="62"/>
  <c r="J21" i="7"/>
  <c r="J34" i="62"/>
  <c r="H34" i="62"/>
  <c r="K61" i="20"/>
  <c r="K63" i="20" s="1"/>
  <c r="L61" i="20"/>
  <c r="L63" i="20" s="1"/>
  <c r="M35" i="62" s="1"/>
  <c r="M34" i="62" s="1"/>
  <c r="P31" i="46"/>
  <c r="L25" i="12"/>
  <c r="Q25" i="46" s="1"/>
  <c r="L83" i="20"/>
  <c r="L84" i="20" s="1"/>
  <c r="L30" i="12" s="1"/>
  <c r="M38" i="62" s="1"/>
  <c r="K84" i="20"/>
  <c r="K30" i="12" s="1"/>
  <c r="L38" i="62" s="1"/>
  <c r="L153" i="20"/>
  <c r="L34" i="12" s="1"/>
  <c r="Q34" i="46" s="1"/>
  <c r="E61" i="20"/>
  <c r="E63" i="20" s="1"/>
  <c r="K7" i="20"/>
  <c r="K75" i="20"/>
  <c r="G17" i="7"/>
  <c r="E17" i="7"/>
  <c r="C17" i="7"/>
  <c r="G15" i="7"/>
  <c r="E15" i="7"/>
  <c r="C15" i="7"/>
  <c r="H6" i="7"/>
  <c r="F6" i="7"/>
  <c r="F10" i="7" s="1"/>
  <c r="D6" i="7"/>
  <c r="D10" i="7" s="1"/>
  <c r="B6" i="7"/>
  <c r="B10" i="7" s="1"/>
  <c r="D86" i="29" s="1"/>
  <c r="D130" i="29" s="1"/>
  <c r="J41" i="29"/>
  <c r="F41" i="29"/>
  <c r="I40" i="29"/>
  <c r="G40" i="29"/>
  <c r="E40" i="29"/>
  <c r="J39" i="29"/>
  <c r="H39" i="29"/>
  <c r="F39" i="29"/>
  <c r="H22" i="12"/>
  <c r="H8" i="27" s="1"/>
  <c r="F22" i="12"/>
  <c r="F37" i="27" s="1"/>
  <c r="G37" i="27" s="1"/>
  <c r="H37" i="27" s="1"/>
  <c r="D22" i="12"/>
  <c r="D37" i="27" s="1"/>
  <c r="J84" i="20"/>
  <c r="J30" i="12" s="1"/>
  <c r="E34" i="62"/>
  <c r="A24" i="20"/>
  <c r="L18" i="35"/>
  <c r="K18" i="35"/>
  <c r="J18" i="35"/>
  <c r="D691" i="11"/>
  <c r="D37" i="10" s="1"/>
  <c r="L45" i="20"/>
  <c r="L20" i="12" s="1"/>
  <c r="Q20" i="46" s="1"/>
  <c r="K45" i="20"/>
  <c r="K20" i="12" s="1"/>
  <c r="P20" i="46" s="1"/>
  <c r="K12" i="15"/>
  <c r="K13" i="27" s="1"/>
  <c r="J36" i="36"/>
  <c r="I36" i="36"/>
  <c r="J12" i="15"/>
  <c r="J25" i="15" s="1"/>
  <c r="J15" i="27"/>
  <c r="K36" i="36"/>
  <c r="L12" i="15"/>
  <c r="D287" i="11"/>
  <c r="D26" i="10" s="1"/>
  <c r="D38" i="10" s="1"/>
  <c r="D39" i="10" s="1"/>
  <c r="L53" i="29"/>
  <c r="R25" i="21"/>
  <c r="D36" i="21"/>
  <c r="D38" i="21" s="1"/>
  <c r="D42" i="21" s="1"/>
  <c r="I13" i="7"/>
  <c r="I68" i="18"/>
  <c r="I80" i="18" s="1"/>
  <c r="I46" i="39"/>
  <c r="H143" i="11"/>
  <c r="H19" i="10" s="1"/>
  <c r="D20" i="10"/>
  <c r="R27" i="21"/>
  <c r="C36" i="21"/>
  <c r="K153" i="20"/>
  <c r="K34" i="12" s="1"/>
  <c r="P39" i="46"/>
  <c r="D707" i="11"/>
  <c r="D709" i="11" s="1"/>
  <c r="I35" i="10"/>
  <c r="O35" i="47" s="1"/>
  <c r="N35" i="47" s="1"/>
  <c r="I88" i="9"/>
  <c r="I85" i="9" s="1"/>
  <c r="I84" i="9" s="1"/>
  <c r="K23" i="10"/>
  <c r="Q23" i="47" s="1"/>
  <c r="J153" i="20"/>
  <c r="J34" i="12" s="1"/>
  <c r="O34" i="46" s="1"/>
  <c r="N34" i="46" s="1"/>
  <c r="J120" i="11"/>
  <c r="J17" i="10" s="1"/>
  <c r="P17" i="47" s="1"/>
  <c r="G60" i="11"/>
  <c r="G9" i="10" s="1"/>
  <c r="J46" i="39"/>
  <c r="E707" i="11"/>
  <c r="H661" i="11"/>
  <c r="H36" i="10" s="1"/>
  <c r="H433" i="11"/>
  <c r="H30" i="10" s="1"/>
  <c r="J217" i="11"/>
  <c r="I24" i="10"/>
  <c r="O24" i="47" s="1"/>
  <c r="N24" i="47" s="1"/>
  <c r="J126" i="9"/>
  <c r="J125" i="9" s="1"/>
  <c r="J44" i="8" s="1"/>
  <c r="P44" i="48" s="1"/>
  <c r="K32" i="10"/>
  <c r="Q32" i="47" s="1"/>
  <c r="I375" i="11"/>
  <c r="G287" i="11"/>
  <c r="G26" i="10" s="1"/>
  <c r="G375" i="11"/>
  <c r="G28" i="10" s="1"/>
  <c r="G143" i="11"/>
  <c r="G19" i="10" s="1"/>
  <c r="G156" i="11"/>
  <c r="G23" i="10" s="1"/>
  <c r="G454" i="11"/>
  <c r="G31" i="10" s="1"/>
  <c r="R8" i="21"/>
  <c r="I18" i="10"/>
  <c r="O18" i="47" s="1"/>
  <c r="N18" i="47" s="1"/>
  <c r="H134" i="11"/>
  <c r="H18" i="10" s="1"/>
  <c r="H60" i="11"/>
  <c r="H9" i="10" s="1"/>
  <c r="K56" i="29"/>
  <c r="K14" i="29" s="1"/>
  <c r="K6" i="23"/>
  <c r="K22" i="23" s="1"/>
  <c r="K19" i="12"/>
  <c r="L19" i="12" s="1"/>
  <c r="K17" i="20"/>
  <c r="J19" i="20"/>
  <c r="J8" i="12" s="1"/>
  <c r="K92" i="20"/>
  <c r="J117" i="20"/>
  <c r="J123" i="20" s="1"/>
  <c r="J32" i="12" s="1"/>
  <c r="R32" i="21"/>
  <c r="P36" i="21"/>
  <c r="P38" i="21" s="1"/>
  <c r="P42" i="21" s="1"/>
  <c r="K527" i="11"/>
  <c r="K129" i="9" s="1"/>
  <c r="K128" i="9" s="1"/>
  <c r="K45" i="8" s="1"/>
  <c r="Q45" i="48" s="1"/>
  <c r="J527" i="11"/>
  <c r="G661" i="11"/>
  <c r="G36" i="10" s="1"/>
  <c r="G433" i="11"/>
  <c r="G30" i="10" s="1"/>
  <c r="K134" i="11"/>
  <c r="J38" i="21"/>
  <c r="J42" i="21" s="1"/>
  <c r="E38" i="21"/>
  <c r="E42" i="21" s="1"/>
  <c r="C38" i="21"/>
  <c r="C42" i="21" s="1"/>
  <c r="K120" i="11"/>
  <c r="K17" i="10" s="1"/>
  <c r="Q17" i="47" s="1"/>
  <c r="J38" i="11"/>
  <c r="J8" i="10" s="1"/>
  <c r="P8" i="47" s="1"/>
  <c r="I9" i="9"/>
  <c r="J9" i="9" s="1"/>
  <c r="J5" i="9" s="1"/>
  <c r="O5" i="46"/>
  <c r="N5" i="46" s="1"/>
  <c r="K45" i="29"/>
  <c r="F22" i="21"/>
  <c r="F38" i="21" s="1"/>
  <c r="F42" i="21" s="1"/>
  <c r="E85" i="13"/>
  <c r="D27" i="7"/>
  <c r="F112" i="29" s="1"/>
  <c r="K50" i="14"/>
  <c r="K10" i="13" s="1"/>
  <c r="V171" i="14"/>
  <c r="A19" i="13"/>
  <c r="A18" i="59" s="1"/>
  <c r="A37" i="59" s="1"/>
  <c r="U94" i="14"/>
  <c r="A13" i="13"/>
  <c r="J17" i="14"/>
  <c r="J7" i="13" s="1"/>
  <c r="L138" i="14"/>
  <c r="L18" i="13" s="1"/>
  <c r="A17" i="59"/>
  <c r="A36" i="59" s="1"/>
  <c r="D171" i="14"/>
  <c r="U17" i="14"/>
  <c r="A426" i="14"/>
  <c r="J29" i="13"/>
  <c r="O28" i="49" s="1"/>
  <c r="N28" i="49" s="1"/>
  <c r="J54" i="13"/>
  <c r="I28" i="13"/>
  <c r="I54" i="13"/>
  <c r="I53" i="13" s="1"/>
  <c r="I63" i="13" s="1"/>
  <c r="H27" i="7" s="1"/>
  <c r="J112" i="29" s="1"/>
  <c r="J24" i="13"/>
  <c r="J437" i="14"/>
  <c r="N49" i="51" s="1"/>
  <c r="J26" i="16" s="1"/>
  <c r="J27" i="16" s="1"/>
  <c r="I43" i="7" s="1"/>
  <c r="F24" i="13"/>
  <c r="F437" i="14"/>
  <c r="W171" i="14"/>
  <c r="F171" i="14"/>
  <c r="L330" i="14"/>
  <c r="L329" i="14" s="1"/>
  <c r="L29" i="13" s="1"/>
  <c r="I171" i="14"/>
  <c r="C437" i="14"/>
  <c r="A175" i="14"/>
  <c r="A6" i="13"/>
  <c r="J163" i="14"/>
  <c r="J160" i="14" s="1"/>
  <c r="J20" i="13" s="1"/>
  <c r="Q160" i="14"/>
  <c r="L50" i="14"/>
  <c r="L10" i="13" s="1"/>
  <c r="P171" i="14"/>
  <c r="H7" i="13"/>
  <c r="H21" i="13" s="1"/>
  <c r="H171" i="14"/>
  <c r="L149" i="14"/>
  <c r="L19" i="13" s="1"/>
  <c r="Q18" i="49" s="1"/>
  <c r="S171" i="14"/>
  <c r="N171" i="14"/>
  <c r="Q17" i="14"/>
  <c r="A362" i="14"/>
  <c r="A14" i="13"/>
  <c r="A340" i="14"/>
  <c r="A12" i="13"/>
  <c r="A219" i="14"/>
  <c r="A10" i="13"/>
  <c r="A28" i="13" s="1"/>
  <c r="A27" i="49" s="1"/>
  <c r="L39" i="14"/>
  <c r="L9" i="13" s="1"/>
  <c r="E8" i="59" s="1"/>
  <c r="K13" i="55"/>
  <c r="K10" i="55" s="1"/>
  <c r="K7" i="18" s="1"/>
  <c r="J10" i="55"/>
  <c r="J7" i="18" s="1"/>
  <c r="A6" i="59"/>
  <c r="A25" i="59" s="1"/>
  <c r="Q6" i="14"/>
  <c r="Q138" i="14"/>
  <c r="U138" i="14"/>
  <c r="U127" i="14"/>
  <c r="A395" i="14"/>
  <c r="Q28" i="14"/>
  <c r="L17" i="14"/>
  <c r="L7" i="13" s="1"/>
  <c r="L247" i="14"/>
  <c r="L219" i="14" s="1"/>
  <c r="L28" i="13" s="1"/>
  <c r="Q27" i="49" s="1"/>
  <c r="K219" i="14"/>
  <c r="K28" i="13" s="1"/>
  <c r="P27" i="49" s="1"/>
  <c r="K37" i="18"/>
  <c r="I37" i="18"/>
  <c r="A11" i="49"/>
  <c r="A18" i="49"/>
  <c r="A12" i="59"/>
  <c r="A31" i="59" s="1"/>
  <c r="A37" i="13"/>
  <c r="A36" i="49" s="1"/>
  <c r="A9" i="49"/>
  <c r="A9" i="59"/>
  <c r="A28" i="59" s="1"/>
  <c r="A5" i="49"/>
  <c r="A5" i="59"/>
  <c r="A24" i="59" s="1"/>
  <c r="A24" i="13"/>
  <c r="A23" i="49" s="1"/>
  <c r="G29" i="13"/>
  <c r="G54" i="13"/>
  <c r="G53" i="13" s="1"/>
  <c r="G63" i="13" s="1"/>
  <c r="F27" i="7" s="1"/>
  <c r="H112" i="29" s="1"/>
  <c r="I27" i="13"/>
  <c r="I437" i="14"/>
  <c r="G27" i="13"/>
  <c r="G39" i="13" s="1"/>
  <c r="G437" i="14"/>
  <c r="E27" i="13"/>
  <c r="E437" i="14"/>
  <c r="O23" i="49"/>
  <c r="J39" i="13"/>
  <c r="E39" i="13"/>
  <c r="C39" i="13"/>
  <c r="K161" i="14"/>
  <c r="K160" i="14" s="1"/>
  <c r="K20" i="13" s="1"/>
  <c r="D19" i="59" s="1"/>
  <c r="U160" i="14"/>
  <c r="L160" i="14"/>
  <c r="L20" i="13" s="1"/>
  <c r="Q19" i="49" s="1"/>
  <c r="J154" i="14"/>
  <c r="Q149" i="14"/>
  <c r="K138" i="14"/>
  <c r="K18" i="13" s="1"/>
  <c r="P17" i="49" s="1"/>
  <c r="J136" i="14"/>
  <c r="J127" i="14" s="1"/>
  <c r="J17" i="13" s="1"/>
  <c r="C16" i="59" s="1"/>
  <c r="Q127" i="14"/>
  <c r="L127" i="14"/>
  <c r="L17" i="13" s="1"/>
  <c r="Q16" i="49" s="1"/>
  <c r="K127" i="14"/>
  <c r="K17" i="13" s="1"/>
  <c r="P16" i="49" s="1"/>
  <c r="J122" i="14"/>
  <c r="J116" i="14" s="1"/>
  <c r="J16" i="13" s="1"/>
  <c r="Q116" i="14"/>
  <c r="K120" i="14"/>
  <c r="K116" i="14" s="1"/>
  <c r="K16" i="13" s="1"/>
  <c r="U116" i="14"/>
  <c r="L116" i="14"/>
  <c r="L16" i="13" s="1"/>
  <c r="E15" i="59" s="1"/>
  <c r="L105" i="14"/>
  <c r="L15" i="13" s="1"/>
  <c r="Q14" i="49" s="1"/>
  <c r="K110" i="14"/>
  <c r="K105" i="14" s="1"/>
  <c r="K15" i="13" s="1"/>
  <c r="U105" i="14"/>
  <c r="J106" i="14"/>
  <c r="J105" i="14" s="1"/>
  <c r="J15" i="13" s="1"/>
  <c r="O14" i="49" s="1"/>
  <c r="N14" i="49" s="1"/>
  <c r="Q105" i="14"/>
  <c r="J98" i="14"/>
  <c r="J94" i="14" s="1"/>
  <c r="J14" i="13" s="1"/>
  <c r="O13" i="49" s="1"/>
  <c r="N13" i="49" s="1"/>
  <c r="Q94" i="14"/>
  <c r="L94" i="14"/>
  <c r="L14" i="13" s="1"/>
  <c r="E13" i="59" s="1"/>
  <c r="K94" i="14"/>
  <c r="K14" i="13" s="1"/>
  <c r="D13" i="59" s="1"/>
  <c r="J90" i="14"/>
  <c r="J83" i="14" s="1"/>
  <c r="J13" i="13" s="1"/>
  <c r="C12" i="59" s="1"/>
  <c r="Q83" i="14"/>
  <c r="K87" i="14"/>
  <c r="K83" i="14" s="1"/>
  <c r="K13" i="13" s="1"/>
  <c r="U83" i="14"/>
  <c r="L83" i="14"/>
  <c r="L13" i="13" s="1"/>
  <c r="Q12" i="49" s="1"/>
  <c r="K78" i="14"/>
  <c r="K72" i="14" s="1"/>
  <c r="K12" i="13" s="1"/>
  <c r="U72" i="14"/>
  <c r="J74" i="14"/>
  <c r="J72" i="14" s="1"/>
  <c r="J12" i="13" s="1"/>
  <c r="O11" i="49" s="1"/>
  <c r="N11" i="49" s="1"/>
  <c r="Q72" i="14"/>
  <c r="L72" i="14"/>
  <c r="L12" i="13" s="1"/>
  <c r="Q11" i="49" s="1"/>
  <c r="J67" i="14"/>
  <c r="J61" i="14" s="1"/>
  <c r="Q61" i="14"/>
  <c r="K65" i="14"/>
  <c r="K61" i="14" s="1"/>
  <c r="U61" i="14"/>
  <c r="L61" i="14"/>
  <c r="L11" i="13" s="1"/>
  <c r="Q10" i="49" s="1"/>
  <c r="J51" i="14"/>
  <c r="J50" i="14" s="1"/>
  <c r="J10" i="13" s="1"/>
  <c r="O9" i="49" s="1"/>
  <c r="N9" i="49" s="1"/>
  <c r="Q50" i="14"/>
  <c r="F21" i="13"/>
  <c r="K39" i="14"/>
  <c r="K9" i="13" s="1"/>
  <c r="P8" i="49" s="1"/>
  <c r="J40" i="14"/>
  <c r="J39" i="14" s="1"/>
  <c r="J9" i="13" s="1"/>
  <c r="Q39" i="14"/>
  <c r="O171" i="14"/>
  <c r="G9" i="13"/>
  <c r="G21" i="13" s="1"/>
  <c r="G171" i="14"/>
  <c r="E9" i="13"/>
  <c r="E21" i="13" s="1"/>
  <c r="E171" i="14"/>
  <c r="J28" i="14"/>
  <c r="J8" i="13" s="1"/>
  <c r="K29" i="14"/>
  <c r="K28" i="14" s="1"/>
  <c r="K8" i="13" s="1"/>
  <c r="D7" i="59" s="1"/>
  <c r="U28" i="14"/>
  <c r="L28" i="14"/>
  <c r="L8" i="13" s="1"/>
  <c r="Q7" i="49" s="1"/>
  <c r="J6" i="14"/>
  <c r="J6" i="13" s="1"/>
  <c r="O5" i="49" s="1"/>
  <c r="N5" i="49" s="1"/>
  <c r="K9" i="14"/>
  <c r="K6" i="14" s="1"/>
  <c r="K6" i="13" s="1"/>
  <c r="P5" i="49" s="1"/>
  <c r="U6" i="14"/>
  <c r="J138" i="14"/>
  <c r="J18" i="13" s="1"/>
  <c r="O17" i="49" s="1"/>
  <c r="N17" i="49" s="1"/>
  <c r="I21" i="13"/>
  <c r="K17" i="14"/>
  <c r="K7" i="13" s="1"/>
  <c r="A19" i="49"/>
  <c r="A19" i="59"/>
  <c r="A38" i="59" s="1"/>
  <c r="H26" i="13"/>
  <c r="H39" i="13" s="1"/>
  <c r="H437" i="14"/>
  <c r="H438" i="14" s="1"/>
  <c r="D26" i="13"/>
  <c r="D39" i="13" s="1"/>
  <c r="D437" i="14"/>
  <c r="D438" i="14" s="1"/>
  <c r="R171" i="14"/>
  <c r="C8" i="13"/>
  <c r="C21" i="13" s="1"/>
  <c r="C171" i="14"/>
  <c r="C438" i="14" s="1"/>
  <c r="L352" i="14"/>
  <c r="L351" i="14" s="1"/>
  <c r="L31" i="13" s="1"/>
  <c r="Q30" i="49" s="1"/>
  <c r="K351" i="14"/>
  <c r="K31" i="13" s="1"/>
  <c r="P30" i="49" s="1"/>
  <c r="P38" i="49" s="1"/>
  <c r="J15" i="55"/>
  <c r="I14" i="55"/>
  <c r="J20" i="55"/>
  <c r="I18" i="55"/>
  <c r="F39" i="13"/>
  <c r="F40" i="13" s="1"/>
  <c r="F48" i="27" s="1"/>
  <c r="F9" i="27" s="1"/>
  <c r="D21" i="13"/>
  <c r="J149" i="14"/>
  <c r="J19" i="13" s="1"/>
  <c r="C18" i="59" s="1"/>
  <c r="K149" i="14"/>
  <c r="K19" i="13" s="1"/>
  <c r="P18" i="49" s="1"/>
  <c r="E6" i="55"/>
  <c r="E11" i="18"/>
  <c r="E5" i="18" s="1"/>
  <c r="E17" i="59"/>
  <c r="Q17" i="49"/>
  <c r="C11" i="59"/>
  <c r="C13" i="59"/>
  <c r="O16" i="49"/>
  <c r="N16" i="49" s="1"/>
  <c r="Q28" i="49"/>
  <c r="J69" i="18"/>
  <c r="A16" i="59"/>
  <c r="A35" i="59" s="1"/>
  <c r="A35" i="13"/>
  <c r="A34" i="49" s="1"/>
  <c r="A16" i="49"/>
  <c r="A14" i="59"/>
  <c r="A33" i="59" s="1"/>
  <c r="A33" i="13"/>
  <c r="A32" i="49" s="1"/>
  <c r="A14" i="49"/>
  <c r="G52" i="29"/>
  <c r="G13" i="29" s="1"/>
  <c r="G122" i="29" s="1"/>
  <c r="O18" i="49"/>
  <c r="N18" i="49" s="1"/>
  <c r="J100" i="57"/>
  <c r="K162" i="20"/>
  <c r="P7" i="49"/>
  <c r="O6" i="49"/>
  <c r="N6" i="49" s="1"/>
  <c r="C6" i="59"/>
  <c r="P9" i="49"/>
  <c r="D9" i="59"/>
  <c r="D17" i="59"/>
  <c r="C17" i="59"/>
  <c r="P13" i="49"/>
  <c r="E14" i="59"/>
  <c r="Q15" i="49"/>
  <c r="E18" i="59"/>
  <c r="Q9" i="49"/>
  <c r="D16" i="59"/>
  <c r="E7" i="59"/>
  <c r="G85" i="13"/>
  <c r="C9" i="59"/>
  <c r="I85" i="57"/>
  <c r="J162" i="20"/>
  <c r="I100" i="57"/>
  <c r="K77" i="9"/>
  <c r="K75" i="9" s="1"/>
  <c r="K24" i="10"/>
  <c r="L15" i="27"/>
  <c r="L40" i="15"/>
  <c r="L14" i="27"/>
  <c r="K37" i="7"/>
  <c r="L13" i="27"/>
  <c r="L49" i="29"/>
  <c r="A287" i="11"/>
  <c r="A26" i="10" s="1"/>
  <c r="A8" i="10"/>
  <c r="O8" i="48"/>
  <c r="N8" i="48" s="1"/>
  <c r="F71" i="9"/>
  <c r="K691" i="11"/>
  <c r="J691" i="11"/>
  <c r="J133" i="9"/>
  <c r="J132" i="9" s="1"/>
  <c r="I132" i="9"/>
  <c r="K375" i="11"/>
  <c r="K28" i="10" s="1"/>
  <c r="Q28" i="47" s="1"/>
  <c r="J375" i="11"/>
  <c r="H287" i="11"/>
  <c r="H26" i="10" s="1"/>
  <c r="J31" i="9"/>
  <c r="J26" i="9" s="1"/>
  <c r="J12" i="8" s="1"/>
  <c r="P12" i="48" s="1"/>
  <c r="I26" i="9"/>
  <c r="I12" i="8" s="1"/>
  <c r="O12" i="48" s="1"/>
  <c r="N12" i="48" s="1"/>
  <c r="J23" i="9"/>
  <c r="J16" i="9" s="1"/>
  <c r="I16" i="9"/>
  <c r="I63" i="9"/>
  <c r="I23" i="8" s="1"/>
  <c r="O23" i="48" s="1"/>
  <c r="N23" i="48" s="1"/>
  <c r="J64" i="9"/>
  <c r="J63" i="9" s="1"/>
  <c r="J23" i="8" s="1"/>
  <c r="P23" i="48" s="1"/>
  <c r="O6" i="47"/>
  <c r="I40" i="15"/>
  <c r="H37" i="7"/>
  <c r="G40" i="15"/>
  <c r="F37" i="7"/>
  <c r="E40" i="15"/>
  <c r="D37" i="7"/>
  <c r="C40" i="15"/>
  <c r="B37" i="7"/>
  <c r="H5" i="29"/>
  <c r="G23" i="27"/>
  <c r="G5" i="17"/>
  <c r="F45" i="7"/>
  <c r="D5" i="29"/>
  <c r="C23" i="27"/>
  <c r="C5" i="17"/>
  <c r="B45" i="7"/>
  <c r="G67" i="62"/>
  <c r="F40" i="16"/>
  <c r="K9" i="9"/>
  <c r="K8" i="10"/>
  <c r="K40" i="15"/>
  <c r="J37" i="7"/>
  <c r="A527" i="11"/>
  <c r="A33" i="10" s="1"/>
  <c r="A15" i="10"/>
  <c r="I127" i="29"/>
  <c r="P6" i="48"/>
  <c r="H71" i="9"/>
  <c r="D71" i="9"/>
  <c r="H591" i="11"/>
  <c r="H35" i="10" s="1"/>
  <c r="K541" i="11"/>
  <c r="J541" i="11"/>
  <c r="C38" i="10"/>
  <c r="L6" i="13"/>
  <c r="N30" i="49"/>
  <c r="A6" i="49"/>
  <c r="I84" i="18"/>
  <c r="K101" i="29" s="1"/>
  <c r="A8" i="13"/>
  <c r="A11" i="13"/>
  <c r="I16" i="7"/>
  <c r="M12" i="62"/>
  <c r="K46" i="39"/>
  <c r="Q14" i="46"/>
  <c r="K23" i="9"/>
  <c r="K16" i="9" s="1"/>
  <c r="G38" i="10"/>
  <c r="J7" i="8"/>
  <c r="P7" i="48" s="1"/>
  <c r="H23" i="10"/>
  <c r="K14" i="27"/>
  <c r="K15" i="7"/>
  <c r="F3" i="62"/>
  <c r="K3" i="60"/>
  <c r="E2" i="58"/>
  <c r="E2" i="57"/>
  <c r="E2" i="56"/>
  <c r="E2" i="43"/>
  <c r="E2" i="39"/>
  <c r="E2" i="36"/>
  <c r="E2" i="35"/>
  <c r="F2" i="33"/>
  <c r="E2" i="30"/>
  <c r="E2" i="55"/>
  <c r="E2" i="52"/>
  <c r="C2" i="45"/>
  <c r="E2" i="40"/>
  <c r="E2" i="38"/>
  <c r="F2" i="29"/>
  <c r="E2" i="42"/>
  <c r="E2" i="41"/>
  <c r="F2" i="34"/>
  <c r="I2" i="28"/>
  <c r="G63" i="28"/>
  <c r="G109" i="28"/>
  <c r="G155" i="28"/>
  <c r="G201" i="28"/>
  <c r="E2" i="19"/>
  <c r="E2" i="16"/>
  <c r="E2" i="27"/>
  <c r="E2" i="26"/>
  <c r="E73" i="26"/>
  <c r="G2" i="25"/>
  <c r="G2" i="24"/>
  <c r="G2" i="23"/>
  <c r="E2" i="22"/>
  <c r="E2" i="20"/>
  <c r="E2" i="18"/>
  <c r="E2" i="17"/>
  <c r="E2" i="15"/>
  <c r="E2" i="14"/>
  <c r="E2" i="13"/>
  <c r="E2" i="10"/>
  <c r="E2" i="8"/>
  <c r="E2" i="12"/>
  <c r="E2" i="11"/>
  <c r="E2" i="9"/>
  <c r="D2" i="7"/>
  <c r="A1" i="13"/>
  <c r="G5" i="8"/>
  <c r="C5" i="8"/>
  <c r="G140" i="9"/>
  <c r="E140" i="9"/>
  <c r="C140" i="9"/>
  <c r="H140" i="9"/>
  <c r="F140" i="9"/>
  <c r="D140" i="9"/>
  <c r="G71" i="9"/>
  <c r="E71" i="9"/>
  <c r="C71" i="9"/>
  <c r="E38" i="10"/>
  <c r="J591" i="11"/>
  <c r="K591" i="11"/>
  <c r="H541" i="11"/>
  <c r="H34" i="10" s="1"/>
  <c r="H497" i="11"/>
  <c r="H32" i="10" s="1"/>
  <c r="H454" i="11"/>
  <c r="H31" i="10" s="1"/>
  <c r="F707" i="11"/>
  <c r="F29" i="10"/>
  <c r="F38" i="10" s="1"/>
  <c r="H375" i="11"/>
  <c r="H28" i="10" s="1"/>
  <c r="J304" i="11"/>
  <c r="K304" i="11" s="1"/>
  <c r="I287" i="11"/>
  <c r="K287" i="11"/>
  <c r="H217" i="11"/>
  <c r="H24" i="10" s="1"/>
  <c r="K31" i="9"/>
  <c r="K26" i="9" s="1"/>
  <c r="K12" i="8" s="1"/>
  <c r="Q12" i="48" s="1"/>
  <c r="K18" i="10"/>
  <c r="Q18" i="47" s="1"/>
  <c r="G15" i="10"/>
  <c r="G20" i="10" s="1"/>
  <c r="G39" i="10" s="1"/>
  <c r="E13" i="10"/>
  <c r="E153" i="11"/>
  <c r="J57" i="9"/>
  <c r="J56" i="9" s="1"/>
  <c r="I56" i="9"/>
  <c r="H74" i="11"/>
  <c r="F20" i="10"/>
  <c r="J40" i="9"/>
  <c r="J38" i="9" s="1"/>
  <c r="I38" i="9"/>
  <c r="C20" i="10"/>
  <c r="C39" i="10" s="1"/>
  <c r="E20" i="10"/>
  <c r="E39" i="10" s="1"/>
  <c r="H85" i="13"/>
  <c r="F85" i="13"/>
  <c r="E27" i="7"/>
  <c r="G112" i="29" s="1"/>
  <c r="D85" i="13"/>
  <c r="C27" i="7"/>
  <c r="E112" i="29" s="1"/>
  <c r="H13" i="27"/>
  <c r="H14" i="27"/>
  <c r="G35" i="7"/>
  <c r="H25" i="15"/>
  <c r="D13" i="27"/>
  <c r="D14" i="27"/>
  <c r="C35" i="7"/>
  <c r="D25" i="15"/>
  <c r="K92" i="29"/>
  <c r="I5" i="7"/>
  <c r="K37" i="9"/>
  <c r="L12" i="62"/>
  <c r="J20" i="7"/>
  <c r="P17" i="46"/>
  <c r="G707" i="11"/>
  <c r="I49" i="62"/>
  <c r="O28" i="46"/>
  <c r="K13" i="10"/>
  <c r="Q13" i="47" s="1"/>
  <c r="K12" i="10"/>
  <c r="Q12" i="47" s="1"/>
  <c r="K15" i="27"/>
  <c r="K29" i="10"/>
  <c r="Q29" i="47" s="1"/>
  <c r="K30" i="10"/>
  <c r="Q30" i="47" s="1"/>
  <c r="J32" i="10"/>
  <c r="P32" i="47" s="1"/>
  <c r="K36" i="10"/>
  <c r="Q36" i="47" s="1"/>
  <c r="X36" i="2"/>
  <c r="B105" i="3"/>
  <c r="A71" i="30"/>
  <c r="A24" i="23"/>
  <c r="A25" i="24"/>
  <c r="A77" i="22"/>
  <c r="B103" i="3"/>
  <c r="B36" i="3"/>
  <c r="B28" i="3"/>
  <c r="B26" i="3"/>
  <c r="B24" i="3"/>
  <c r="B22" i="3"/>
  <c r="B20" i="3"/>
  <c r="B18" i="3"/>
  <c r="B16" i="3"/>
  <c r="B7" i="3"/>
  <c r="B5" i="3"/>
  <c r="B3" i="3"/>
  <c r="B4" i="6"/>
  <c r="I114" i="29"/>
  <c r="I113" i="29"/>
  <c r="G114" i="29"/>
  <c r="G113" i="29"/>
  <c r="E114" i="29"/>
  <c r="E113" i="29"/>
  <c r="I106" i="29"/>
  <c r="I109" i="29"/>
  <c r="G106" i="29"/>
  <c r="G109" i="29"/>
  <c r="E106" i="29"/>
  <c r="E109" i="29"/>
  <c r="L105" i="29"/>
  <c r="J108" i="29"/>
  <c r="J105" i="29"/>
  <c r="H108" i="29"/>
  <c r="H105" i="29"/>
  <c r="F108" i="29"/>
  <c r="F105" i="29"/>
  <c r="D108" i="29"/>
  <c r="D105" i="29"/>
  <c r="J110" i="29"/>
  <c r="J107" i="29"/>
  <c r="H110" i="29"/>
  <c r="H107" i="29"/>
  <c r="F110" i="29"/>
  <c r="F107" i="29"/>
  <c r="D110" i="29"/>
  <c r="D107" i="29"/>
  <c r="A1" i="7"/>
  <c r="G44" i="8"/>
  <c r="G42" i="8" s="1"/>
  <c r="E44" i="8"/>
  <c r="E42" i="8" s="1"/>
  <c r="C44" i="8"/>
  <c r="C42" i="8" s="1"/>
  <c r="H43" i="8"/>
  <c r="H42" i="8" s="1"/>
  <c r="H48" i="8" s="1"/>
  <c r="F43" i="8"/>
  <c r="F42" i="8" s="1"/>
  <c r="F48" i="8" s="1"/>
  <c r="D43" i="8"/>
  <c r="D42" i="8" s="1"/>
  <c r="D48" i="8" s="1"/>
  <c r="G37" i="8"/>
  <c r="G32" i="8" s="1"/>
  <c r="G48" i="8" s="1"/>
  <c r="E37" i="8"/>
  <c r="E32" i="8" s="1"/>
  <c r="E48" i="8" s="1"/>
  <c r="C37" i="8"/>
  <c r="C32" i="8" s="1"/>
  <c r="C48" i="8" s="1"/>
  <c r="G16" i="8"/>
  <c r="G15" i="8" s="1"/>
  <c r="E16" i="8"/>
  <c r="E15" i="8" s="1"/>
  <c r="E25" i="8" s="1"/>
  <c r="C16" i="8"/>
  <c r="C15" i="8" s="1"/>
  <c r="H10" i="8"/>
  <c r="H9" i="8" s="1"/>
  <c r="F10" i="8"/>
  <c r="F9" i="8" s="1"/>
  <c r="D10" i="8"/>
  <c r="D9" i="8" s="1"/>
  <c r="H6" i="8"/>
  <c r="H5" i="8" s="1"/>
  <c r="H25" i="8" s="1"/>
  <c r="F6" i="8"/>
  <c r="F5" i="8" s="1"/>
  <c r="D6" i="8"/>
  <c r="D5" i="8" s="1"/>
  <c r="D25" i="8" s="1"/>
  <c r="A1" i="8"/>
  <c r="I36" i="10"/>
  <c r="O36" i="47" s="1"/>
  <c r="N36" i="47" s="1"/>
  <c r="I29" i="10"/>
  <c r="O29" i="47" s="1"/>
  <c r="N29" i="47" s="1"/>
  <c r="I25" i="10"/>
  <c r="O25" i="47" s="1"/>
  <c r="A1" i="10"/>
  <c r="C707" i="11"/>
  <c r="C709" i="11" s="1"/>
  <c r="A143" i="11"/>
  <c r="A134" i="11"/>
  <c r="A120" i="11"/>
  <c r="A115" i="11"/>
  <c r="H105" i="11"/>
  <c r="A100" i="11"/>
  <c r="A85" i="11"/>
  <c r="A74" i="11"/>
  <c r="A69" i="11"/>
  <c r="I9" i="10"/>
  <c r="O9" i="47" s="1"/>
  <c r="N9" i="47" s="1"/>
  <c r="A27" i="11"/>
  <c r="A16" i="11"/>
  <c r="I37" i="62"/>
  <c r="G37" i="62"/>
  <c r="E37" i="62"/>
  <c r="G68" i="18"/>
  <c r="G86" i="56" s="1"/>
  <c r="E68" i="18"/>
  <c r="D54" i="7" s="1"/>
  <c r="C68" i="18"/>
  <c r="C86" i="56" s="1"/>
  <c r="I54" i="29"/>
  <c r="I10" i="29" s="1"/>
  <c r="G54" i="29"/>
  <c r="G10" i="29" s="1"/>
  <c r="E54" i="29"/>
  <c r="E10" i="29" s="1"/>
  <c r="I41" i="29"/>
  <c r="E41" i="29"/>
  <c r="J40" i="29"/>
  <c r="H40" i="29"/>
  <c r="F40" i="29"/>
  <c r="I39" i="29"/>
  <c r="G39" i="29"/>
  <c r="E39" i="29"/>
  <c r="Q7" i="46"/>
  <c r="M93" i="29"/>
  <c r="M46" i="29"/>
  <c r="O7" i="46"/>
  <c r="K46" i="29"/>
  <c r="K93" i="29"/>
  <c r="I93" i="29"/>
  <c r="I46" i="29"/>
  <c r="G46" i="29"/>
  <c r="G93" i="29"/>
  <c r="E93" i="29"/>
  <c r="E46" i="29"/>
  <c r="E38" i="29" s="1"/>
  <c r="J76" i="62"/>
  <c r="J71" i="62" s="1"/>
  <c r="J72" i="62" s="1"/>
  <c r="J13" i="62" s="1"/>
  <c r="J45" i="29"/>
  <c r="J17" i="27"/>
  <c r="J92" i="29"/>
  <c r="I18" i="27"/>
  <c r="H76" i="62"/>
  <c r="H71" i="62" s="1"/>
  <c r="H17" i="27"/>
  <c r="H45" i="29"/>
  <c r="H92" i="29"/>
  <c r="G18" i="27"/>
  <c r="F76" i="62"/>
  <c r="F45" i="29"/>
  <c r="F17" i="27"/>
  <c r="F92" i="29"/>
  <c r="E18" i="27"/>
  <c r="D76" i="62"/>
  <c r="D17" i="27"/>
  <c r="D45" i="29"/>
  <c r="C18" i="27"/>
  <c r="A116" i="14"/>
  <c r="A39" i="14"/>
  <c r="L11" i="27"/>
  <c r="J11" i="27"/>
  <c r="H11" i="27"/>
  <c r="F11" i="27"/>
  <c r="D11" i="27"/>
  <c r="D71" i="38"/>
  <c r="H50" i="16"/>
  <c r="H51" i="16" s="1"/>
  <c r="F50" i="16"/>
  <c r="F51" i="16" s="1"/>
  <c r="D50" i="16"/>
  <c r="D51" i="16" s="1"/>
  <c r="K45" i="16"/>
  <c r="J45" i="16"/>
  <c r="G17" i="29"/>
  <c r="F34" i="27"/>
  <c r="F84" i="18"/>
  <c r="G101" i="29" s="1"/>
  <c r="G95" i="18"/>
  <c r="E95" i="18"/>
  <c r="C95" i="18"/>
  <c r="H5" i="63"/>
  <c r="A27" i="18"/>
  <c r="A58" i="18"/>
  <c r="A76" i="18"/>
  <c r="H85" i="18"/>
  <c r="I102" i="29" s="1"/>
  <c r="I58" i="29"/>
  <c r="E58" i="29"/>
  <c r="D82" i="18"/>
  <c r="D85" i="18"/>
  <c r="E102" i="29" s="1"/>
  <c r="A2" i="62"/>
  <c r="A1" i="61"/>
  <c r="A1" i="60"/>
  <c r="A1" i="59"/>
  <c r="A1" i="58"/>
  <c r="A1" i="57"/>
  <c r="A1" i="56"/>
  <c r="A1" i="62"/>
  <c r="A1" i="55"/>
  <c r="A1" i="53"/>
  <c r="A1" i="52"/>
  <c r="A1" i="51"/>
  <c r="A1" i="49"/>
  <c r="A1" i="47"/>
  <c r="A1" i="44"/>
  <c r="A1" i="43"/>
  <c r="A1" i="42"/>
  <c r="A1" i="41"/>
  <c r="A1" i="40"/>
  <c r="A1" i="36"/>
  <c r="A1" i="34"/>
  <c r="A1" i="31"/>
  <c r="A1" i="29"/>
  <c r="A1" i="54"/>
  <c r="A1" i="48"/>
  <c r="A1" i="46"/>
  <c r="A1" i="45"/>
  <c r="A1" i="50"/>
  <c r="A1" i="39"/>
  <c r="A1" i="35"/>
  <c r="A1" i="33"/>
  <c r="A1" i="32"/>
  <c r="A1" i="30"/>
  <c r="A1" i="27"/>
  <c r="A1" i="38"/>
  <c r="A1" i="37"/>
  <c r="A1" i="26"/>
  <c r="A1" i="22"/>
  <c r="A1" i="20"/>
  <c r="A1" i="18"/>
  <c r="A1" i="17"/>
  <c r="A1" i="28"/>
  <c r="A72" i="26"/>
  <c r="A1" i="25"/>
  <c r="A1" i="24"/>
  <c r="A1" i="23"/>
  <c r="A1" i="21"/>
  <c r="A1" i="19"/>
  <c r="A1" i="16"/>
  <c r="B37" i="3"/>
  <c r="B29" i="3"/>
  <c r="B27" i="3"/>
  <c r="B25" i="3"/>
  <c r="B23" i="3"/>
  <c r="B21" i="3"/>
  <c r="B19" i="3"/>
  <c r="B17" i="3"/>
  <c r="B15" i="3"/>
  <c r="B6" i="3"/>
  <c r="B4" i="3"/>
  <c r="A1" i="6"/>
  <c r="J113" i="29"/>
  <c r="J114" i="29"/>
  <c r="H113" i="29"/>
  <c r="H114" i="29"/>
  <c r="F113" i="29"/>
  <c r="F114" i="29"/>
  <c r="D113" i="29"/>
  <c r="D114" i="29"/>
  <c r="J106" i="29"/>
  <c r="J109" i="29"/>
  <c r="H106" i="29"/>
  <c r="H109" i="29"/>
  <c r="F106" i="29"/>
  <c r="F109" i="29"/>
  <c r="D106" i="29"/>
  <c r="D109" i="29"/>
  <c r="M105" i="29"/>
  <c r="K105" i="29"/>
  <c r="I105" i="29"/>
  <c r="I108" i="29"/>
  <c r="G105" i="29"/>
  <c r="G108" i="29"/>
  <c r="E105" i="29"/>
  <c r="E108" i="29"/>
  <c r="I107" i="29"/>
  <c r="I110" i="29"/>
  <c r="G107" i="29"/>
  <c r="G110" i="29"/>
  <c r="E107" i="29"/>
  <c r="E110" i="29"/>
  <c r="A1" i="9"/>
  <c r="A81" i="11"/>
  <c r="A60" i="11"/>
  <c r="A5" i="11"/>
  <c r="A1" i="11"/>
  <c r="J37" i="62"/>
  <c r="J58" i="62" s="1"/>
  <c r="J80" i="62" s="1"/>
  <c r="H68" i="18"/>
  <c r="F68" i="18"/>
  <c r="F83" i="18" s="1"/>
  <c r="D68" i="18"/>
  <c r="E8" i="27"/>
  <c r="F116" i="29"/>
  <c r="P7" i="46"/>
  <c r="L46" i="29"/>
  <c r="L93" i="29"/>
  <c r="J46" i="29"/>
  <c r="J93" i="29"/>
  <c r="H46" i="29"/>
  <c r="H93" i="29"/>
  <c r="F46" i="29"/>
  <c r="F93" i="29"/>
  <c r="I76" i="62"/>
  <c r="I45" i="29"/>
  <c r="I92" i="29"/>
  <c r="H18" i="27"/>
  <c r="I17" i="27"/>
  <c r="G45" i="29"/>
  <c r="G76" i="62"/>
  <c r="G92" i="29"/>
  <c r="F18" i="27"/>
  <c r="G17" i="27"/>
  <c r="E76" i="62"/>
  <c r="E71" i="62" s="1"/>
  <c r="E9" i="62" s="1"/>
  <c r="E8" i="62" s="1"/>
  <c r="E45" i="29"/>
  <c r="E92" i="29"/>
  <c r="D18" i="27"/>
  <c r="E17" i="27"/>
  <c r="A1" i="12"/>
  <c r="A1" i="14"/>
  <c r="F55" i="15"/>
  <c r="F13" i="27"/>
  <c r="F14" i="27"/>
  <c r="K55" i="29"/>
  <c r="H84" i="29" s="1"/>
  <c r="K15" i="29"/>
  <c r="J35" i="17"/>
  <c r="I55" i="29"/>
  <c r="H38" i="27"/>
  <c r="H35" i="17"/>
  <c r="I15" i="29"/>
  <c r="G55" i="29"/>
  <c r="G15" i="29"/>
  <c r="F38" i="27"/>
  <c r="F35" i="17"/>
  <c r="E55" i="29"/>
  <c r="E84" i="29" s="1"/>
  <c r="E15" i="29"/>
  <c r="D38" i="27"/>
  <c r="D35" i="17"/>
  <c r="I15" i="27"/>
  <c r="I12" i="15"/>
  <c r="G15" i="27"/>
  <c r="G6" i="17"/>
  <c r="G36" i="36"/>
  <c r="G12" i="15"/>
  <c r="E36" i="36"/>
  <c r="E15" i="27"/>
  <c r="E12" i="15"/>
  <c r="C36" i="36"/>
  <c r="C15" i="27"/>
  <c r="C6" i="17"/>
  <c r="C12" i="15"/>
  <c r="A1" i="15"/>
  <c r="J5" i="29"/>
  <c r="I23" i="27"/>
  <c r="I5" i="17"/>
  <c r="F5" i="29"/>
  <c r="E23" i="27"/>
  <c r="E5" i="17"/>
  <c r="I67" i="62"/>
  <c r="H40" i="16"/>
  <c r="E67" i="62"/>
  <c r="D40" i="16"/>
  <c r="M65" i="62"/>
  <c r="L49" i="16"/>
  <c r="K65" i="62"/>
  <c r="J49" i="16"/>
  <c r="L61" i="62"/>
  <c r="K49" i="27"/>
  <c r="K36" i="16"/>
  <c r="J44" i="7" s="1"/>
  <c r="J67" i="62"/>
  <c r="I51" i="16"/>
  <c r="H67" i="62"/>
  <c r="G51" i="16"/>
  <c r="F67" i="62"/>
  <c r="E51" i="16"/>
  <c r="D67" i="62"/>
  <c r="C51" i="16"/>
  <c r="L63" i="62"/>
  <c r="L64" i="62"/>
  <c r="K48" i="16"/>
  <c r="I17" i="29"/>
  <c r="H84" i="18"/>
  <c r="I101" i="29" s="1"/>
  <c r="D17" i="29"/>
  <c r="C84" i="18"/>
  <c r="D101" i="29" s="1"/>
  <c r="H17" i="29"/>
  <c r="G34" i="27"/>
  <c r="G84" i="18"/>
  <c r="H101" i="29" s="1"/>
  <c r="E17" i="29"/>
  <c r="D84" i="18"/>
  <c r="E101" i="29" s="1"/>
  <c r="H8" i="63"/>
  <c r="A30" i="18"/>
  <c r="A61" i="18"/>
  <c r="A79" i="18"/>
  <c r="H7" i="63"/>
  <c r="A29" i="18"/>
  <c r="A60" i="18"/>
  <c r="A78" i="18"/>
  <c r="H6" i="63"/>
  <c r="A28" i="18"/>
  <c r="A59" i="18"/>
  <c r="A77" i="18"/>
  <c r="G41" i="18"/>
  <c r="G49" i="18" s="1"/>
  <c r="G82" i="18" s="1"/>
  <c r="G58" i="29"/>
  <c r="F85" i="18"/>
  <c r="G102" i="29" s="1"/>
  <c r="H58" i="29"/>
  <c r="G83" i="18"/>
  <c r="G85" i="18"/>
  <c r="H102" i="29" s="1"/>
  <c r="F58" i="29"/>
  <c r="D58" i="29"/>
  <c r="C85" i="18"/>
  <c r="D102" i="29" s="1"/>
  <c r="H49" i="18"/>
  <c r="H82" i="18" s="1"/>
  <c r="F49" i="18"/>
  <c r="F82" i="18" s="1"/>
  <c r="D49" i="18"/>
  <c r="J15" i="29"/>
  <c r="H15" i="29"/>
  <c r="H55" i="29"/>
  <c r="G19" i="27"/>
  <c r="F15" i="29"/>
  <c r="E19" i="27"/>
  <c r="H15" i="27"/>
  <c r="F15" i="27"/>
  <c r="D15" i="27"/>
  <c r="M61" i="62"/>
  <c r="K61" i="62"/>
  <c r="M63" i="62"/>
  <c r="M64" i="62"/>
  <c r="K63" i="62"/>
  <c r="K64" i="62"/>
  <c r="M70" i="62"/>
  <c r="K70" i="62"/>
  <c r="L17" i="62"/>
  <c r="I35" i="17"/>
  <c r="G35" i="17"/>
  <c r="E35" i="17"/>
  <c r="C35" i="17"/>
  <c r="G37" i="18"/>
  <c r="E37" i="18"/>
  <c r="E41" i="18" s="1"/>
  <c r="E49" i="18" s="1"/>
  <c r="E82" i="18" s="1"/>
  <c r="C37" i="18"/>
  <c r="C41" i="18" s="1"/>
  <c r="C49" i="18" s="1"/>
  <c r="K26" i="18"/>
  <c r="K20" i="18" s="1"/>
  <c r="J52" i="62"/>
  <c r="K52" i="62"/>
  <c r="G52" i="62"/>
  <c r="E52" i="62"/>
  <c r="A19" i="20"/>
  <c r="A14" i="20"/>
  <c r="K26" i="22"/>
  <c r="K19" i="15" s="1"/>
  <c r="K24" i="15" s="1"/>
  <c r="J36" i="7" s="1"/>
  <c r="L49" i="27"/>
  <c r="J49" i="27"/>
  <c r="I38" i="27"/>
  <c r="G38" i="27"/>
  <c r="E38" i="27"/>
  <c r="C38" i="27"/>
  <c r="F55" i="29"/>
  <c r="F84" i="29" s="1"/>
  <c r="I47" i="35"/>
  <c r="J48" i="35"/>
  <c r="K48" i="35"/>
  <c r="C71" i="38"/>
  <c r="J71" i="38"/>
  <c r="H71" i="38"/>
  <c r="F71" i="38"/>
  <c r="I71" i="38"/>
  <c r="G71" i="38"/>
  <c r="E71" i="38"/>
  <c r="F66" i="42"/>
  <c r="K56" i="62"/>
  <c r="J56" i="62"/>
  <c r="J54" i="62" s="1"/>
  <c r="J53" i="62" s="1"/>
  <c r="K93" i="19"/>
  <c r="H42" i="62"/>
  <c r="L75" i="29"/>
  <c r="M75" i="29" s="1"/>
  <c r="K76" i="29"/>
  <c r="J55" i="29"/>
  <c r="G84" i="29" s="1"/>
  <c r="H33" i="35"/>
  <c r="H34" i="35" s="1"/>
  <c r="J33" i="35"/>
  <c r="D33" i="35"/>
  <c r="E33" i="35"/>
  <c r="O22" i="37"/>
  <c r="O24" i="37"/>
  <c r="K71" i="38"/>
  <c r="M78" i="29"/>
  <c r="M82" i="29" s="1"/>
  <c r="L82" i="29"/>
  <c r="M76" i="29"/>
  <c r="G48" i="35"/>
  <c r="F48" i="35"/>
  <c r="E18" i="35"/>
  <c r="F18" i="35"/>
  <c r="J32" i="36"/>
  <c r="H32" i="36"/>
  <c r="H36" i="36"/>
  <c r="F32" i="36"/>
  <c r="F36" i="36"/>
  <c r="D32" i="36"/>
  <c r="D36" i="36"/>
  <c r="G45" i="39"/>
  <c r="E45" i="39"/>
  <c r="C45" i="39"/>
  <c r="K45" i="40"/>
  <c r="K47" i="40" s="1"/>
  <c r="G45" i="40"/>
  <c r="C45" i="40"/>
  <c r="D60" i="41"/>
  <c r="G60" i="41"/>
  <c r="C60" i="41"/>
  <c r="H25" i="41"/>
  <c r="D25" i="41"/>
  <c r="F46" i="43"/>
  <c r="J39" i="45"/>
  <c r="J37" i="45"/>
  <c r="K37" i="45"/>
  <c r="H37" i="45"/>
  <c r="E26" i="48"/>
  <c r="E50" i="48"/>
  <c r="E53" i="48" s="1"/>
  <c r="I26" i="48"/>
  <c r="L65" i="42"/>
  <c r="L88" i="20" s="1"/>
  <c r="L89" i="20" s="1"/>
  <c r="L33" i="12" s="1"/>
  <c r="H65" i="42"/>
  <c r="H88" i="20" s="1"/>
  <c r="D65" i="42"/>
  <c r="D88" i="20" s="1"/>
  <c r="K65" i="42"/>
  <c r="K88" i="20" s="1"/>
  <c r="K89" i="20" s="1"/>
  <c r="K33" i="12" s="1"/>
  <c r="I65" i="42"/>
  <c r="I88" i="20" s="1"/>
  <c r="G65" i="42"/>
  <c r="G88" i="20" s="1"/>
  <c r="E65" i="42"/>
  <c r="E88" i="20" s="1"/>
  <c r="C65" i="42"/>
  <c r="C88" i="20" s="1"/>
  <c r="I34" i="42"/>
  <c r="G34" i="42"/>
  <c r="E34" i="42"/>
  <c r="C34" i="42"/>
  <c r="H34" i="42"/>
  <c r="D34" i="42"/>
  <c r="I102" i="43"/>
  <c r="E102" i="43"/>
  <c r="I46" i="43"/>
  <c r="H46" i="43"/>
  <c r="E46" i="43"/>
  <c r="D46" i="43"/>
  <c r="I30" i="43"/>
  <c r="H104" i="43"/>
  <c r="H30" i="43"/>
  <c r="G30" i="43"/>
  <c r="F104" i="43"/>
  <c r="E30" i="43"/>
  <c r="D104" i="43"/>
  <c r="D30" i="43"/>
  <c r="I14" i="43"/>
  <c r="H48" i="43"/>
  <c r="H14" i="43"/>
  <c r="G14" i="43"/>
  <c r="F48" i="43"/>
  <c r="E14" i="43"/>
  <c r="D48" i="43"/>
  <c r="D14" i="43"/>
  <c r="M26" i="48"/>
  <c r="I45" i="35"/>
  <c r="K33" i="35"/>
  <c r="G46" i="39"/>
  <c r="E46" i="39"/>
  <c r="C46" i="39"/>
  <c r="I47" i="40"/>
  <c r="G47" i="40"/>
  <c r="E47" i="40"/>
  <c r="C47" i="40"/>
  <c r="I49" i="41"/>
  <c r="G52" i="41"/>
  <c r="G59" i="41"/>
  <c r="C52" i="41"/>
  <c r="C59" i="41"/>
  <c r="J25" i="41"/>
  <c r="K66" i="43"/>
  <c r="J100" i="43"/>
  <c r="I66" i="43"/>
  <c r="H100" i="43"/>
  <c r="G66" i="43"/>
  <c r="F100" i="43"/>
  <c r="E66" i="43"/>
  <c r="D100" i="43"/>
  <c r="G102" i="43"/>
  <c r="C102" i="43"/>
  <c r="E57" i="44"/>
  <c r="Q32" i="50"/>
  <c r="Q36" i="50" s="1"/>
  <c r="L25" i="50"/>
  <c r="J25" i="50"/>
  <c r="H25" i="50"/>
  <c r="F25" i="50"/>
  <c r="L54" i="51"/>
  <c r="L64" i="51" s="1"/>
  <c r="D54" i="51"/>
  <c r="O21" i="54"/>
  <c r="O9" i="54"/>
  <c r="G77" i="55"/>
  <c r="C77" i="55"/>
  <c r="H97" i="58"/>
  <c r="K50" i="48"/>
  <c r="K53" i="48" s="1"/>
  <c r="G50" i="48"/>
  <c r="G53" i="48" s="1"/>
  <c r="N32" i="50"/>
  <c r="N36" i="50" s="1"/>
  <c r="K52" i="51"/>
  <c r="K54" i="51" s="1"/>
  <c r="K64" i="51" s="1"/>
  <c r="K63" i="51"/>
  <c r="F63" i="51"/>
  <c r="F52" i="51"/>
  <c r="F54" i="51" s="1"/>
  <c r="F64" i="51" s="1"/>
  <c r="E77" i="55"/>
  <c r="K77" i="56"/>
  <c r="G85" i="56"/>
  <c r="C85" i="57"/>
  <c r="C100" i="57"/>
  <c r="H85" i="57"/>
  <c r="H100" i="57"/>
  <c r="H77" i="55"/>
  <c r="F77" i="55"/>
  <c r="D77" i="55"/>
  <c r="I6" i="56"/>
  <c r="I77" i="56" s="1"/>
  <c r="E6" i="56"/>
  <c r="E77" i="56" s="1"/>
  <c r="J6" i="56"/>
  <c r="J77" i="56" s="1"/>
  <c r="H6" i="56"/>
  <c r="H77" i="56" s="1"/>
  <c r="F6" i="56"/>
  <c r="F77" i="56" s="1"/>
  <c r="D6" i="56"/>
  <c r="D77" i="56" s="1"/>
  <c r="F6" i="57"/>
  <c r="F77" i="57" s="1"/>
  <c r="D6" i="57"/>
  <c r="D77" i="57" s="1"/>
  <c r="D97" i="58"/>
  <c r="F77" i="58"/>
  <c r="F97" i="58" s="1"/>
  <c r="G77" i="58"/>
  <c r="G97" i="58" s="1"/>
  <c r="I54" i="62"/>
  <c r="I53" i="62" s="1"/>
  <c r="G54" i="62"/>
  <c r="G53" i="62" s="1"/>
  <c r="E54" i="62"/>
  <c r="E53" i="62" s="1"/>
  <c r="G49" i="62"/>
  <c r="E49" i="62"/>
  <c r="K16" i="12"/>
  <c r="K22" i="62"/>
  <c r="J252" i="11"/>
  <c r="K252" i="11"/>
  <c r="K13" i="43"/>
  <c r="K45" i="43"/>
  <c r="K46" i="43" s="1"/>
  <c r="L48" i="48"/>
  <c r="J48" i="48"/>
  <c r="H48" i="48"/>
  <c r="F48" i="48"/>
  <c r="D48" i="48"/>
  <c r="L25" i="48"/>
  <c r="J25" i="48"/>
  <c r="H25" i="48"/>
  <c r="F25" i="48"/>
  <c r="D25" i="48"/>
  <c r="E39" i="49"/>
  <c r="P36" i="50"/>
  <c r="G52" i="51"/>
  <c r="G54" i="51" s="1"/>
  <c r="G64" i="51" s="1"/>
  <c r="G63" i="51"/>
  <c r="M21" i="51"/>
  <c r="M33" i="51" s="1"/>
  <c r="O44" i="54"/>
  <c r="M44" i="54"/>
  <c r="K44" i="54"/>
  <c r="I44" i="54"/>
  <c r="G44" i="54"/>
  <c r="E44" i="54"/>
  <c r="C44" i="54"/>
  <c r="N23" i="54"/>
  <c r="L23" i="54"/>
  <c r="J23" i="54"/>
  <c r="H23" i="54"/>
  <c r="F23" i="54"/>
  <c r="O15" i="54"/>
  <c r="D23" i="54"/>
  <c r="J37" i="18"/>
  <c r="E77" i="58"/>
  <c r="E97" i="58" s="1"/>
  <c r="C77" i="58"/>
  <c r="C97" i="58" s="1"/>
  <c r="I70" i="62"/>
  <c r="F49" i="62"/>
  <c r="I23" i="62"/>
  <c r="E23" i="62"/>
  <c r="J54" i="64"/>
  <c r="O21" i="51"/>
  <c r="O33" i="51" s="1"/>
  <c r="R34" i="21"/>
  <c r="G6" i="57"/>
  <c r="G77" i="57" s="1"/>
  <c r="J6" i="58"/>
  <c r="J77" i="58" s="1"/>
  <c r="K6" i="58"/>
  <c r="K77" i="58" s="1"/>
  <c r="I6" i="58"/>
  <c r="I77" i="58" s="1"/>
  <c r="I97" i="58" s="1"/>
  <c r="F71" i="62"/>
  <c r="F72" i="62" s="1"/>
  <c r="F13" i="62" s="1"/>
  <c r="C73" i="62"/>
  <c r="D74" i="62" s="1"/>
  <c r="G70" i="62"/>
  <c r="J49" i="62"/>
  <c r="H26" i="62"/>
  <c r="H23" i="62" s="1"/>
  <c r="J76" i="64"/>
  <c r="I77" i="64"/>
  <c r="J20" i="64"/>
  <c r="J77" i="64" s="1"/>
  <c r="F57" i="44"/>
  <c r="L6" i="23"/>
  <c r="L22" i="23" s="1"/>
  <c r="J48" i="15"/>
  <c r="I39" i="7" s="1"/>
  <c r="I6" i="44"/>
  <c r="I11" i="44" s="1"/>
  <c r="G35" i="44"/>
  <c r="G57" i="44" s="1"/>
  <c r="I16" i="44"/>
  <c r="K126" i="9"/>
  <c r="K125" i="9" s="1"/>
  <c r="K44" i="8" s="1"/>
  <c r="K31" i="10"/>
  <c r="Q31" i="47" s="1"/>
  <c r="K36" i="18"/>
  <c r="K42" i="18"/>
  <c r="L26" i="12"/>
  <c r="P26" i="46"/>
  <c r="D11" i="44"/>
  <c r="D57" i="44" s="1"/>
  <c r="E75" i="18"/>
  <c r="E69" i="18" s="1"/>
  <c r="F17" i="29" s="1"/>
  <c r="E6" i="57"/>
  <c r="E77" i="57" s="1"/>
  <c r="E162" i="20" s="1"/>
  <c r="D56" i="7"/>
  <c r="E84" i="18"/>
  <c r="F101" i="29" s="1"/>
  <c r="K7" i="7" l="1"/>
  <c r="I85" i="13"/>
  <c r="I39" i="13"/>
  <c r="I40" i="13" s="1"/>
  <c r="I48" i="27" s="1"/>
  <c r="I9" i="27" s="1"/>
  <c r="I50" i="48"/>
  <c r="I53" i="48" s="1"/>
  <c r="I35" i="44"/>
  <c r="J40" i="15"/>
  <c r="I37" i="7"/>
  <c r="C56" i="51"/>
  <c r="D55" i="51" s="1"/>
  <c r="D56" i="51" s="1"/>
  <c r="E55" i="51" s="1"/>
  <c r="E56" i="51" s="1"/>
  <c r="F55" i="51" s="1"/>
  <c r="F56" i="51" s="1"/>
  <c r="G55" i="51" s="1"/>
  <c r="G56" i="51" s="1"/>
  <c r="H55" i="51" s="1"/>
  <c r="H56" i="51" s="1"/>
  <c r="I55" i="51" s="1"/>
  <c r="I56" i="51" s="1"/>
  <c r="J55" i="51" s="1"/>
  <c r="J56" i="51" s="1"/>
  <c r="K55" i="51" s="1"/>
  <c r="K56" i="51" s="1"/>
  <c r="L55" i="51" s="1"/>
  <c r="L56" i="51" s="1"/>
  <c r="M55" i="51" s="1"/>
  <c r="I57" i="44"/>
  <c r="K72" i="18"/>
  <c r="K75" i="18" s="1"/>
  <c r="K69" i="18" s="1"/>
  <c r="K6" i="57"/>
  <c r="K77" i="57" s="1"/>
  <c r="K33" i="10"/>
  <c r="Q33" i="47" s="1"/>
  <c r="K12" i="12"/>
  <c r="O12" i="46"/>
  <c r="N12" i="46" s="1"/>
  <c r="I9" i="7"/>
  <c r="K51" i="29"/>
  <c r="J46" i="43"/>
  <c r="J48" i="43"/>
  <c r="J49" i="43" s="1"/>
  <c r="K104" i="43"/>
  <c r="H37" i="62"/>
  <c r="J94" i="29"/>
  <c r="E127" i="29"/>
  <c r="G127" i="29"/>
  <c r="H34" i="27"/>
  <c r="D19" i="27"/>
  <c r="M44" i="51"/>
  <c r="M46" i="51" s="1"/>
  <c r="J15" i="7"/>
  <c r="D8" i="27"/>
  <c r="F36" i="12"/>
  <c r="H27" i="24" s="1"/>
  <c r="H10" i="7"/>
  <c r="J86" i="29" s="1"/>
  <c r="J130" i="29" s="1"/>
  <c r="I19" i="27"/>
  <c r="C8" i="27"/>
  <c r="I32" i="27"/>
  <c r="F46" i="27"/>
  <c r="I35" i="27"/>
  <c r="I60" i="12"/>
  <c r="F58" i="8"/>
  <c r="I97" i="29"/>
  <c r="F7" i="27"/>
  <c r="G121" i="29" s="1"/>
  <c r="F150" i="9"/>
  <c r="P30" i="46"/>
  <c r="F60" i="12"/>
  <c r="F715" i="11" s="1"/>
  <c r="H91" i="29"/>
  <c r="I37" i="27"/>
  <c r="H97" i="29"/>
  <c r="D127" i="29"/>
  <c r="I58" i="62"/>
  <c r="I80" i="62" s="1"/>
  <c r="G32" i="27"/>
  <c r="F35" i="27"/>
  <c r="H86" i="29"/>
  <c r="G41" i="29"/>
  <c r="F32" i="27"/>
  <c r="E94" i="29"/>
  <c r="F8" i="27"/>
  <c r="I91" i="29"/>
  <c r="D58" i="62"/>
  <c r="D80" i="62" s="1"/>
  <c r="H58" i="62"/>
  <c r="H80" i="62" s="1"/>
  <c r="E29" i="17"/>
  <c r="E32" i="17" s="1"/>
  <c r="E14" i="17" s="1"/>
  <c r="E18" i="17" s="1"/>
  <c r="D49" i="7" s="1"/>
  <c r="E58" i="62"/>
  <c r="E80" i="62" s="1"/>
  <c r="C33" i="27"/>
  <c r="E42" i="62"/>
  <c r="C19" i="27"/>
  <c r="C34" i="27"/>
  <c r="H38" i="29"/>
  <c r="L38" i="29"/>
  <c r="C37" i="27"/>
  <c r="E37" i="27"/>
  <c r="C32" i="27"/>
  <c r="C35" i="27"/>
  <c r="E35" i="27"/>
  <c r="G58" i="62"/>
  <c r="G80" i="62" s="1"/>
  <c r="I94" i="29"/>
  <c r="Q30" i="46"/>
  <c r="K11" i="7"/>
  <c r="H60" i="12"/>
  <c r="J26" i="23" s="1"/>
  <c r="J42" i="62"/>
  <c r="O25" i="46"/>
  <c r="N25" i="46" s="1"/>
  <c r="I11" i="7"/>
  <c r="G91" i="29"/>
  <c r="F91" i="29"/>
  <c r="F127" i="29"/>
  <c r="L35" i="62"/>
  <c r="L34" i="62" s="1"/>
  <c r="K25" i="12"/>
  <c r="E72" i="62"/>
  <c r="E13" i="62" s="1"/>
  <c r="E15" i="62" s="1"/>
  <c r="E14" i="62" s="1"/>
  <c r="E11" i="62" s="1"/>
  <c r="C83" i="18"/>
  <c r="D34" i="27"/>
  <c r="H19" i="27"/>
  <c r="F38" i="29"/>
  <c r="J38" i="29"/>
  <c r="D32" i="27"/>
  <c r="D35" i="27"/>
  <c r="H35" i="27"/>
  <c r="F94" i="29"/>
  <c r="H32" i="27"/>
  <c r="G35" i="27"/>
  <c r="G60" i="12"/>
  <c r="I26" i="23" s="1"/>
  <c r="G94" i="29"/>
  <c r="D60" i="12"/>
  <c r="D715" i="11" s="1"/>
  <c r="J91" i="29"/>
  <c r="I17" i="7"/>
  <c r="K38" i="62"/>
  <c r="O30" i="46"/>
  <c r="N30" i="46" s="1"/>
  <c r="K30" i="21"/>
  <c r="I15" i="7"/>
  <c r="L7" i="20"/>
  <c r="L9" i="20" s="1"/>
  <c r="L5" i="12" s="1"/>
  <c r="K9" i="20"/>
  <c r="K5" i="12" s="1"/>
  <c r="H127" i="29"/>
  <c r="E83" i="18"/>
  <c r="F19" i="27"/>
  <c r="H94" i="29"/>
  <c r="F86" i="29"/>
  <c r="F130" i="29" s="1"/>
  <c r="E26" i="23"/>
  <c r="E91" i="29"/>
  <c r="F38" i="12"/>
  <c r="F42" i="12" s="1"/>
  <c r="F44" i="12" s="1"/>
  <c r="F46" i="12" s="1"/>
  <c r="E18" i="7"/>
  <c r="K79" i="20"/>
  <c r="K28" i="12" s="1"/>
  <c r="L75" i="20"/>
  <c r="L79" i="20" s="1"/>
  <c r="L28" i="12" s="1"/>
  <c r="F35" i="62"/>
  <c r="F34" i="62" s="1"/>
  <c r="F42" i="62" s="1"/>
  <c r="E25" i="12"/>
  <c r="J35" i="7"/>
  <c r="J13" i="27"/>
  <c r="J14" i="27"/>
  <c r="I35" i="7"/>
  <c r="K35" i="7"/>
  <c r="L25" i="15"/>
  <c r="L71" i="15" s="1"/>
  <c r="D45" i="10"/>
  <c r="K117" i="20"/>
  <c r="K123" i="20" s="1"/>
  <c r="K32" i="12" s="1"/>
  <c r="L92" i="20"/>
  <c r="L117" i="20" s="1"/>
  <c r="L123" i="20" s="1"/>
  <c r="L32" i="12" s="1"/>
  <c r="L46" i="27" s="1"/>
  <c r="L17" i="20"/>
  <c r="L19" i="20" s="1"/>
  <c r="L8" i="12" s="1"/>
  <c r="K19" i="20"/>
  <c r="K8" i="12" s="1"/>
  <c r="I28" i="10"/>
  <c r="O28" i="47" s="1"/>
  <c r="N28" i="47" s="1"/>
  <c r="I109" i="9"/>
  <c r="I107" i="9" s="1"/>
  <c r="J77" i="9"/>
  <c r="J75" i="9" s="1"/>
  <c r="J29" i="8" s="1"/>
  <c r="P29" i="48" s="1"/>
  <c r="J24" i="10"/>
  <c r="P24" i="47" s="1"/>
  <c r="J17" i="7"/>
  <c r="P34" i="46"/>
  <c r="J36" i="12"/>
  <c r="G153" i="11"/>
  <c r="J287" i="11"/>
  <c r="J26" i="10" s="1"/>
  <c r="P26" i="47" s="1"/>
  <c r="J46" i="27"/>
  <c r="I33" i="8"/>
  <c r="I32" i="8" s="1"/>
  <c r="O32" i="48" s="1"/>
  <c r="N32" i="48" s="1"/>
  <c r="J129" i="9"/>
  <c r="J128" i="9" s="1"/>
  <c r="J45" i="8" s="1"/>
  <c r="P45" i="48" s="1"/>
  <c r="J33" i="10"/>
  <c r="P33" i="47" s="1"/>
  <c r="O32" i="46"/>
  <c r="N32" i="46" s="1"/>
  <c r="K40" i="62"/>
  <c r="K47" i="29"/>
  <c r="K39" i="29" s="1"/>
  <c r="O8" i="46"/>
  <c r="N8" i="46" s="1"/>
  <c r="P19" i="46"/>
  <c r="J8" i="7"/>
  <c r="L56" i="29"/>
  <c r="L14" i="29" s="1"/>
  <c r="I54" i="7"/>
  <c r="I83" i="18"/>
  <c r="H54" i="7"/>
  <c r="I5" i="9"/>
  <c r="I7" i="8"/>
  <c r="O7" i="48" s="1"/>
  <c r="N7" i="48" s="1"/>
  <c r="C19" i="59"/>
  <c r="O19" i="49"/>
  <c r="N19" i="49" s="1"/>
  <c r="K437" i="14"/>
  <c r="E12" i="59"/>
  <c r="D18" i="59"/>
  <c r="E11" i="59"/>
  <c r="H26" i="25"/>
  <c r="A12" i="49"/>
  <c r="A31" i="13"/>
  <c r="A30" i="49" s="1"/>
  <c r="E9" i="59"/>
  <c r="F438" i="14"/>
  <c r="O49" i="51"/>
  <c r="K26" i="16" s="1"/>
  <c r="M49" i="51"/>
  <c r="Q38" i="49"/>
  <c r="O16" i="50"/>
  <c r="N16" i="50" s="1"/>
  <c r="J53" i="13"/>
  <c r="D5" i="59"/>
  <c r="G57" i="29"/>
  <c r="G18" i="29" s="1"/>
  <c r="Q8" i="49"/>
  <c r="H40" i="13"/>
  <c r="I12" i="29" s="1"/>
  <c r="U171" i="14"/>
  <c r="Q171" i="14"/>
  <c r="C40" i="13"/>
  <c r="D12" i="29" s="1"/>
  <c r="I438" i="14"/>
  <c r="K54" i="13"/>
  <c r="P16" i="50" s="1"/>
  <c r="D40" i="13"/>
  <c r="E52" i="29" s="1"/>
  <c r="E13" i="29" s="1"/>
  <c r="E122" i="29" s="1"/>
  <c r="K39" i="13"/>
  <c r="E19" i="59"/>
  <c r="E16" i="59"/>
  <c r="Q13" i="49"/>
  <c r="D8" i="59"/>
  <c r="L39" i="13"/>
  <c r="P19" i="49"/>
  <c r="C14" i="59"/>
  <c r="O12" i="49"/>
  <c r="N12" i="49" s="1"/>
  <c r="L437" i="14"/>
  <c r="Q6" i="49"/>
  <c r="E6" i="59"/>
  <c r="A11" i="59"/>
  <c r="A30" i="59" s="1"/>
  <c r="A30" i="13"/>
  <c r="A29" i="49" s="1"/>
  <c r="A13" i="59"/>
  <c r="A32" i="59" s="1"/>
  <c r="A13" i="49"/>
  <c r="A32" i="13"/>
  <c r="A31" i="49" s="1"/>
  <c r="H48" i="27"/>
  <c r="H9" i="27" s="1"/>
  <c r="I57" i="29"/>
  <c r="I18" i="29" s="1"/>
  <c r="K11" i="13"/>
  <c r="K171" i="14"/>
  <c r="K438" i="14" s="1"/>
  <c r="J11" i="13"/>
  <c r="J171" i="14"/>
  <c r="J438" i="14" s="1"/>
  <c r="D12" i="59"/>
  <c r="P12" i="49"/>
  <c r="P14" i="49"/>
  <c r="D14" i="59"/>
  <c r="P15" i="49"/>
  <c r="D15" i="59"/>
  <c r="C15" i="59"/>
  <c r="O15" i="49"/>
  <c r="N15" i="49" s="1"/>
  <c r="D11" i="59"/>
  <c r="P11" i="49"/>
  <c r="I9" i="18"/>
  <c r="I39" i="18" s="1"/>
  <c r="I55" i="18"/>
  <c r="J55" i="18" s="1"/>
  <c r="K55" i="18" s="1"/>
  <c r="I8" i="18"/>
  <c r="I54" i="18"/>
  <c r="C7" i="59"/>
  <c r="O7" i="49"/>
  <c r="N7" i="49" s="1"/>
  <c r="E26" i="25"/>
  <c r="I6" i="55"/>
  <c r="I77" i="55" s="1"/>
  <c r="K54" i="62"/>
  <c r="K53" i="62" s="1"/>
  <c r="E10" i="59"/>
  <c r="C5" i="59"/>
  <c r="J21" i="13"/>
  <c r="J40" i="13" s="1"/>
  <c r="I100" i="56" s="1"/>
  <c r="G12" i="29"/>
  <c r="K20" i="55"/>
  <c r="K18" i="55" s="1"/>
  <c r="K9" i="18" s="1"/>
  <c r="K39" i="18" s="1"/>
  <c r="J18" i="55"/>
  <c r="J9" i="18" s="1"/>
  <c r="J39" i="18" s="1"/>
  <c r="K15" i="55"/>
  <c r="K14" i="55" s="1"/>
  <c r="J14" i="55"/>
  <c r="E438" i="14"/>
  <c r="G438" i="14"/>
  <c r="O8" i="49"/>
  <c r="N8" i="49" s="1"/>
  <c r="C8" i="59"/>
  <c r="E40" i="13"/>
  <c r="E97" i="55" s="1"/>
  <c r="N23" i="49"/>
  <c r="N38" i="49" s="1"/>
  <c r="O38" i="49"/>
  <c r="G40" i="13"/>
  <c r="G100" i="56" s="1"/>
  <c r="L171" i="14"/>
  <c r="L438" i="14" s="1"/>
  <c r="E34" i="27"/>
  <c r="E85" i="18"/>
  <c r="F102" i="29" s="1"/>
  <c r="E80" i="18"/>
  <c r="K16" i="7"/>
  <c r="Q33" i="46"/>
  <c r="J16" i="7"/>
  <c r="P33" i="46"/>
  <c r="E57" i="8"/>
  <c r="E49" i="8"/>
  <c r="C82" i="18"/>
  <c r="C85" i="56"/>
  <c r="J10" i="8"/>
  <c r="J15" i="9"/>
  <c r="F26" i="48"/>
  <c r="F50" i="48"/>
  <c r="F53" i="48" s="1"/>
  <c r="K108" i="9"/>
  <c r="K25" i="10"/>
  <c r="Q25" i="47" s="1"/>
  <c r="D100" i="57"/>
  <c r="D85" i="57"/>
  <c r="D162" i="20"/>
  <c r="D85" i="56"/>
  <c r="D86" i="56"/>
  <c r="E86" i="56"/>
  <c r="E85" i="56"/>
  <c r="K171" i="60"/>
  <c r="J52" i="41"/>
  <c r="J59" i="41"/>
  <c r="D49" i="43"/>
  <c r="D102" i="43"/>
  <c r="F49" i="43"/>
  <c r="F102" i="43"/>
  <c r="G49" i="43"/>
  <c r="E103" i="43"/>
  <c r="E33" i="27"/>
  <c r="H66" i="42"/>
  <c r="H87" i="20"/>
  <c r="E66" i="42"/>
  <c r="E87" i="20"/>
  <c r="D52" i="41"/>
  <c r="D59" i="41"/>
  <c r="D116" i="29"/>
  <c r="C36" i="17"/>
  <c r="C29" i="17" s="1"/>
  <c r="C32" i="17" s="1"/>
  <c r="C14" i="17" s="1"/>
  <c r="C18" i="17" s="1"/>
  <c r="B49" i="7" s="1"/>
  <c r="M58" i="29"/>
  <c r="K55" i="7"/>
  <c r="D84" i="29"/>
  <c r="D55" i="29" s="1"/>
  <c r="E37" i="29"/>
  <c r="E43" i="29"/>
  <c r="E11" i="29" s="1"/>
  <c r="E103" i="29" s="1"/>
  <c r="E44" i="29"/>
  <c r="I37" i="29"/>
  <c r="I43" i="29"/>
  <c r="I11" i="29" s="1"/>
  <c r="I103" i="29" s="1"/>
  <c r="I44" i="29"/>
  <c r="D80" i="18"/>
  <c r="C54" i="7"/>
  <c r="A349" i="11"/>
  <c r="A27" i="10" s="1"/>
  <c r="A9" i="10"/>
  <c r="M4" i="62"/>
  <c r="M3" i="61"/>
  <c r="E3" i="59"/>
  <c r="K3" i="58"/>
  <c r="K3" i="57"/>
  <c r="K3" i="56"/>
  <c r="O3" i="60"/>
  <c r="K3" i="55"/>
  <c r="G3" i="54"/>
  <c r="K3" i="52"/>
  <c r="P3" i="51"/>
  <c r="Q3" i="49"/>
  <c r="Q3" i="47"/>
  <c r="K3" i="41"/>
  <c r="K3" i="40"/>
  <c r="K3" i="38"/>
  <c r="L3" i="35"/>
  <c r="J3" i="34"/>
  <c r="Q3" i="48"/>
  <c r="Q3" i="46"/>
  <c r="Q3" i="50"/>
  <c r="K3" i="39"/>
  <c r="J3" i="33"/>
  <c r="K3" i="30"/>
  <c r="M3" i="29"/>
  <c r="K3" i="43"/>
  <c r="L3" i="42"/>
  <c r="K3" i="36"/>
  <c r="M110" i="28"/>
  <c r="M156" i="28"/>
  <c r="M202" i="28"/>
  <c r="M64" i="28"/>
  <c r="K3" i="26"/>
  <c r="K74" i="26"/>
  <c r="M3" i="25"/>
  <c r="M3" i="24"/>
  <c r="M3" i="23"/>
  <c r="K3" i="18"/>
  <c r="L3" i="16"/>
  <c r="L3" i="27"/>
  <c r="L3" i="22"/>
  <c r="L3" i="20"/>
  <c r="K3" i="19"/>
  <c r="L3" i="17"/>
  <c r="L3" i="15"/>
  <c r="L3" i="14"/>
  <c r="X3" i="14"/>
  <c r="L3" i="13"/>
  <c r="L3" i="12"/>
  <c r="K3" i="10"/>
  <c r="K3" i="9"/>
  <c r="K3" i="11"/>
  <c r="K3" i="8"/>
  <c r="K3" i="7"/>
  <c r="T3" i="12"/>
  <c r="S3" i="10"/>
  <c r="S3" i="11"/>
  <c r="E85" i="57"/>
  <c r="M6" i="23"/>
  <c r="M22" i="23" s="1"/>
  <c r="K59" i="41"/>
  <c r="K8" i="7"/>
  <c r="Q19" i="46"/>
  <c r="M56" i="29"/>
  <c r="M14" i="29" s="1"/>
  <c r="G71" i="62"/>
  <c r="G72" i="62" s="1"/>
  <c r="G13" i="62" s="1"/>
  <c r="F78" i="62"/>
  <c r="J78" i="62"/>
  <c r="G100" i="57"/>
  <c r="G85" i="57"/>
  <c r="G162" i="20"/>
  <c r="I71" i="62"/>
  <c r="I72" i="62" s="1"/>
  <c r="I13" i="62" s="1"/>
  <c r="O23" i="54"/>
  <c r="D26" i="48"/>
  <c r="D50" i="48"/>
  <c r="D53" i="48" s="1"/>
  <c r="H26" i="48"/>
  <c r="H50" i="48"/>
  <c r="H53" i="48" s="1"/>
  <c r="L26" i="48"/>
  <c r="L50" i="48"/>
  <c r="L53" i="48" s="1"/>
  <c r="K48" i="43"/>
  <c r="K14" i="43"/>
  <c r="J108" i="9"/>
  <c r="J25" i="10"/>
  <c r="J707" i="11"/>
  <c r="L16" i="12"/>
  <c r="L22" i="62"/>
  <c r="P16" i="46"/>
  <c r="F85" i="57"/>
  <c r="F86" i="57"/>
  <c r="F100" i="57"/>
  <c r="F162" i="20"/>
  <c r="F85" i="56"/>
  <c r="F86" i="56"/>
  <c r="F100" i="56"/>
  <c r="I86" i="56"/>
  <c r="F97" i="55"/>
  <c r="G103" i="43"/>
  <c r="G33" i="27"/>
  <c r="I52" i="41"/>
  <c r="I60" i="41"/>
  <c r="H49" i="43"/>
  <c r="H102" i="43"/>
  <c r="E49" i="43"/>
  <c r="I49" i="43"/>
  <c r="D66" i="42"/>
  <c r="D87" i="20"/>
  <c r="C66" i="42"/>
  <c r="C87" i="20"/>
  <c r="G66" i="42"/>
  <c r="G87" i="20"/>
  <c r="H59" i="41"/>
  <c r="H52" i="41"/>
  <c r="H116" i="29"/>
  <c r="G36" i="17"/>
  <c r="E116" i="29"/>
  <c r="D36" i="17"/>
  <c r="D29" i="17" s="1"/>
  <c r="D32" i="17" s="1"/>
  <c r="D14" i="17" s="1"/>
  <c r="D18" i="17" s="1"/>
  <c r="C49" i="7" s="1"/>
  <c r="I116" i="29"/>
  <c r="H36" i="17"/>
  <c r="H29" i="17" s="1"/>
  <c r="H32" i="17" s="1"/>
  <c r="H14" i="17" s="1"/>
  <c r="H18" i="17" s="1"/>
  <c r="G49" i="7" s="1"/>
  <c r="L76" i="29"/>
  <c r="G29" i="17"/>
  <c r="G32" i="17" s="1"/>
  <c r="G14" i="17" s="1"/>
  <c r="G18" i="17" s="1"/>
  <c r="F49" i="7" s="1"/>
  <c r="E5" i="29"/>
  <c r="D23" i="27"/>
  <c r="D5" i="17"/>
  <c r="C45" i="7"/>
  <c r="I5" i="29"/>
  <c r="H23" i="27"/>
  <c r="H5" i="17"/>
  <c r="G45" i="7"/>
  <c r="C14" i="27"/>
  <c r="C13" i="27"/>
  <c r="C25" i="15"/>
  <c r="B35" i="7"/>
  <c r="E14" i="27"/>
  <c r="E13" i="27"/>
  <c r="E25" i="15"/>
  <c r="D35" i="7"/>
  <c r="E6" i="17"/>
  <c r="E8" i="17" s="1"/>
  <c r="G14" i="27"/>
  <c r="G13" i="27"/>
  <c r="G25" i="15"/>
  <c r="F35" i="7"/>
  <c r="I14" i="27"/>
  <c r="I13" i="27"/>
  <c r="I25" i="15"/>
  <c r="H35" i="7"/>
  <c r="I6" i="17"/>
  <c r="I8" i="17" s="1"/>
  <c r="G37" i="29"/>
  <c r="G43" i="29"/>
  <c r="G11" i="29" s="1"/>
  <c r="G103" i="29" s="1"/>
  <c r="G44" i="29"/>
  <c r="A156" i="11"/>
  <c r="A23" i="10" s="1"/>
  <c r="A5" i="10"/>
  <c r="A12" i="10"/>
  <c r="A433" i="11"/>
  <c r="A30" i="10" s="1"/>
  <c r="C2" i="43"/>
  <c r="C2" i="39"/>
  <c r="C2" i="36"/>
  <c r="C2" i="35"/>
  <c r="D2" i="33"/>
  <c r="C2" i="30"/>
  <c r="D3" i="62"/>
  <c r="C2" i="58"/>
  <c r="C2" i="57"/>
  <c r="C2" i="56"/>
  <c r="C2" i="55"/>
  <c r="C2" i="52"/>
  <c r="C2" i="42"/>
  <c r="C2" i="41"/>
  <c r="D2" i="34"/>
  <c r="C2" i="40"/>
  <c r="D2" i="29"/>
  <c r="G2" i="28"/>
  <c r="E63" i="28"/>
  <c r="C2" i="38"/>
  <c r="C2" i="27"/>
  <c r="C2" i="19"/>
  <c r="C2" i="16"/>
  <c r="E109" i="28"/>
  <c r="E155" i="28"/>
  <c r="E201" i="28"/>
  <c r="C2" i="26"/>
  <c r="C73" i="26"/>
  <c r="E2" i="25"/>
  <c r="E2" i="24"/>
  <c r="E2" i="23"/>
  <c r="C2" i="22"/>
  <c r="C2" i="20"/>
  <c r="C2" i="18"/>
  <c r="C2" i="17"/>
  <c r="C2" i="15"/>
  <c r="C2" i="14"/>
  <c r="C2" i="13"/>
  <c r="C2" i="10"/>
  <c r="C2" i="8"/>
  <c r="C2" i="12"/>
  <c r="C2" i="11"/>
  <c r="C2" i="9"/>
  <c r="B2" i="7"/>
  <c r="K4" i="62"/>
  <c r="K3" i="61"/>
  <c r="C3" i="59"/>
  <c r="I3" i="58"/>
  <c r="I3" i="57"/>
  <c r="I3" i="56"/>
  <c r="I3" i="55"/>
  <c r="E3" i="54"/>
  <c r="I3" i="52"/>
  <c r="N3" i="51"/>
  <c r="C2" i="50"/>
  <c r="O3" i="49"/>
  <c r="C2" i="48"/>
  <c r="O3" i="47"/>
  <c r="C2" i="46"/>
  <c r="I3" i="41"/>
  <c r="I3" i="40"/>
  <c r="I3" i="38"/>
  <c r="J3" i="35"/>
  <c r="H3" i="34"/>
  <c r="A3" i="32"/>
  <c r="B2" i="51"/>
  <c r="O3" i="50"/>
  <c r="C2" i="49"/>
  <c r="M3" i="60"/>
  <c r="O3" i="48"/>
  <c r="C2" i="47"/>
  <c r="I3" i="43"/>
  <c r="J3" i="42"/>
  <c r="I3" i="36"/>
  <c r="O3" i="46"/>
  <c r="I2" i="45"/>
  <c r="I3" i="30"/>
  <c r="K110" i="28"/>
  <c r="K156" i="28"/>
  <c r="K202" i="28"/>
  <c r="I3" i="39"/>
  <c r="I3" i="35"/>
  <c r="J3" i="27"/>
  <c r="I3" i="26"/>
  <c r="I74" i="26"/>
  <c r="K3" i="25"/>
  <c r="K3" i="24"/>
  <c r="K3" i="23"/>
  <c r="I3" i="18"/>
  <c r="J3" i="16"/>
  <c r="H3" i="33"/>
  <c r="K3" i="29"/>
  <c r="K64" i="28"/>
  <c r="J3" i="22"/>
  <c r="J3" i="20"/>
  <c r="I3" i="19"/>
  <c r="J3" i="17"/>
  <c r="J3" i="15"/>
  <c r="J3" i="14"/>
  <c r="R3" i="14"/>
  <c r="T3" i="14"/>
  <c r="N3" i="14"/>
  <c r="J3" i="13"/>
  <c r="J3" i="12"/>
  <c r="I3" i="10"/>
  <c r="I3" i="9"/>
  <c r="N2" i="14"/>
  <c r="P3" i="14"/>
  <c r="V3" i="14"/>
  <c r="I3" i="11"/>
  <c r="I3" i="8"/>
  <c r="I3" i="7"/>
  <c r="G3" i="59"/>
  <c r="I2" i="54"/>
  <c r="N3" i="12"/>
  <c r="M3" i="10"/>
  <c r="M3" i="11"/>
  <c r="M2" i="54"/>
  <c r="R3" i="12"/>
  <c r="Q3" i="10"/>
  <c r="Q3" i="11"/>
  <c r="V3" i="12"/>
  <c r="U3" i="10"/>
  <c r="U3" i="11"/>
  <c r="D83" i="18"/>
  <c r="A208" i="14"/>
  <c r="A9" i="13"/>
  <c r="F44" i="29"/>
  <c r="F37" i="29"/>
  <c r="F43" i="29"/>
  <c r="F11" i="29" s="1"/>
  <c r="F103" i="29" s="1"/>
  <c r="J44" i="29"/>
  <c r="J37" i="29"/>
  <c r="J43" i="29"/>
  <c r="J11" i="29" s="1"/>
  <c r="J103" i="29" s="1"/>
  <c r="G38" i="29"/>
  <c r="K38" i="29"/>
  <c r="M38" i="29"/>
  <c r="A252" i="11"/>
  <c r="A25" i="10" s="1"/>
  <c r="A7" i="10"/>
  <c r="A375" i="11"/>
  <c r="A28" i="10" s="1"/>
  <c r="A10" i="10"/>
  <c r="A454" i="11"/>
  <c r="A31" i="10" s="1"/>
  <c r="A13" i="10"/>
  <c r="H104" i="11"/>
  <c r="H15" i="10" s="1"/>
  <c r="A17" i="10"/>
  <c r="A591" i="11"/>
  <c r="A35" i="10" s="1"/>
  <c r="A691" i="11"/>
  <c r="A37" i="10" s="1"/>
  <c r="A19" i="10"/>
  <c r="F25" i="8"/>
  <c r="E3" i="62"/>
  <c r="D2" i="58"/>
  <c r="D2" i="57"/>
  <c r="D2" i="56"/>
  <c r="D2" i="55"/>
  <c r="D2" i="52"/>
  <c r="D2" i="42"/>
  <c r="D2" i="41"/>
  <c r="D2" i="40"/>
  <c r="D2" i="38"/>
  <c r="E2" i="34"/>
  <c r="E2" i="29"/>
  <c r="D2" i="43"/>
  <c r="D2" i="36"/>
  <c r="D2" i="39"/>
  <c r="D2" i="35"/>
  <c r="E2" i="33"/>
  <c r="F109" i="28"/>
  <c r="F155" i="28"/>
  <c r="F201" i="28"/>
  <c r="D2" i="27"/>
  <c r="H2" i="28"/>
  <c r="D2" i="26"/>
  <c r="D73" i="26"/>
  <c r="F2" i="25"/>
  <c r="F2" i="24"/>
  <c r="F2" i="23"/>
  <c r="D2" i="22"/>
  <c r="D2" i="20"/>
  <c r="D2" i="18"/>
  <c r="D2" i="17"/>
  <c r="D2" i="30"/>
  <c r="F63" i="28"/>
  <c r="D2" i="19"/>
  <c r="D2" i="16"/>
  <c r="D2" i="12"/>
  <c r="D2" i="11"/>
  <c r="D2" i="9"/>
  <c r="C2" i="7"/>
  <c r="D2" i="15"/>
  <c r="D2" i="14"/>
  <c r="D2" i="13"/>
  <c r="D2" i="10"/>
  <c r="D2" i="8"/>
  <c r="M2" i="60"/>
  <c r="K2" i="61"/>
  <c r="I2" i="43"/>
  <c r="I2" i="39"/>
  <c r="I2" i="36"/>
  <c r="I2" i="35"/>
  <c r="H2" i="33"/>
  <c r="I2" i="30"/>
  <c r="C2" i="59"/>
  <c r="I2" i="56"/>
  <c r="K3" i="62"/>
  <c r="I2" i="58"/>
  <c r="I2" i="57"/>
  <c r="I2" i="55"/>
  <c r="E2" i="54"/>
  <c r="I2" i="52"/>
  <c r="J2" i="42"/>
  <c r="I2" i="41"/>
  <c r="H2" i="34"/>
  <c r="I2" i="40"/>
  <c r="I2" i="38"/>
  <c r="K2" i="28"/>
  <c r="K63" i="28"/>
  <c r="J2" i="27"/>
  <c r="I2" i="19"/>
  <c r="J2" i="16"/>
  <c r="K2" i="29"/>
  <c r="K109" i="28"/>
  <c r="K155" i="28"/>
  <c r="K201" i="28"/>
  <c r="I2" i="26"/>
  <c r="I73" i="26"/>
  <c r="K2" i="25"/>
  <c r="K2" i="24"/>
  <c r="K2" i="23"/>
  <c r="J2" i="22"/>
  <c r="J2" i="20"/>
  <c r="I2" i="18"/>
  <c r="J2" i="17"/>
  <c r="J2" i="15"/>
  <c r="J2" i="14"/>
  <c r="J2" i="13"/>
  <c r="I2" i="10"/>
  <c r="I2" i="8"/>
  <c r="J2" i="12"/>
  <c r="I2" i="11"/>
  <c r="I2" i="9"/>
  <c r="I2" i="7"/>
  <c r="B50" i="3"/>
  <c r="H2" i="54"/>
  <c r="F3" i="59"/>
  <c r="L3" i="11"/>
  <c r="M3" i="12"/>
  <c r="L3" i="10"/>
  <c r="L2" i="54"/>
  <c r="P3" i="11"/>
  <c r="Q3" i="12"/>
  <c r="P3" i="10"/>
  <c r="T3" i="11"/>
  <c r="U3" i="12"/>
  <c r="T3" i="10"/>
  <c r="D42" i="15"/>
  <c r="D55" i="15" s="1"/>
  <c r="D71" i="15"/>
  <c r="H42" i="15"/>
  <c r="H55" i="15" s="1"/>
  <c r="H71" i="15"/>
  <c r="I37" i="9"/>
  <c r="I16" i="8"/>
  <c r="F39" i="10"/>
  <c r="I21" i="8"/>
  <c r="E715" i="11"/>
  <c r="E709" i="11"/>
  <c r="K78" i="9"/>
  <c r="K30" i="8" s="1"/>
  <c r="Q30" i="48" s="1"/>
  <c r="K26" i="10"/>
  <c r="Q26" i="47" s="1"/>
  <c r="J92" i="9"/>
  <c r="J35" i="10"/>
  <c r="P35" i="47" s="1"/>
  <c r="E149" i="9"/>
  <c r="E141" i="9"/>
  <c r="C25" i="8"/>
  <c r="H38" i="10"/>
  <c r="L66" i="42"/>
  <c r="O33" i="48"/>
  <c r="N33" i="48" s="1"/>
  <c r="J16" i="16"/>
  <c r="N46" i="51"/>
  <c r="A26" i="13"/>
  <c r="A25" i="49" s="1"/>
  <c r="A7" i="49"/>
  <c r="A7" i="59"/>
  <c r="A26" i="59" s="1"/>
  <c r="L21" i="13"/>
  <c r="Q5" i="49"/>
  <c r="Q20" i="49" s="1"/>
  <c r="E5" i="59"/>
  <c r="J80" i="9"/>
  <c r="J79" i="9" s="1"/>
  <c r="J31" i="8" s="1"/>
  <c r="P31" i="48" s="1"/>
  <c r="J34" i="10"/>
  <c r="P34" i="47" s="1"/>
  <c r="H141" i="9"/>
  <c r="E130" i="29"/>
  <c r="I130" i="29"/>
  <c r="Q8" i="47"/>
  <c r="O29" i="48"/>
  <c r="N29" i="48" s="1"/>
  <c r="C8" i="17"/>
  <c r="I15" i="9"/>
  <c r="I10" i="8"/>
  <c r="J28" i="10"/>
  <c r="P28" i="47" s="1"/>
  <c r="J109" i="9"/>
  <c r="K109" i="9" s="1"/>
  <c r="I46" i="8"/>
  <c r="I121" i="9"/>
  <c r="J37" i="10"/>
  <c r="P37" i="47" s="1"/>
  <c r="J88" i="9"/>
  <c r="F141" i="9"/>
  <c r="F149" i="9"/>
  <c r="A8" i="47"/>
  <c r="A26" i="47" s="1"/>
  <c r="F2" i="21"/>
  <c r="K707" i="11"/>
  <c r="K29" i="8"/>
  <c r="P6" i="49"/>
  <c r="K21" i="13"/>
  <c r="D6" i="59"/>
  <c r="J85" i="57"/>
  <c r="Q26" i="46"/>
  <c r="K12" i="7"/>
  <c r="Q44" i="48"/>
  <c r="K42" i="8"/>
  <c r="Q42" i="48" s="1"/>
  <c r="D70" i="62"/>
  <c r="D26" i="62"/>
  <c r="D23" i="62" s="1"/>
  <c r="H72" i="62"/>
  <c r="H13" i="62" s="1"/>
  <c r="P21" i="51"/>
  <c r="P33" i="51" s="1"/>
  <c r="L8" i="16"/>
  <c r="J26" i="48"/>
  <c r="J50" i="48"/>
  <c r="J53" i="48" s="1"/>
  <c r="H85" i="56"/>
  <c r="H86" i="56"/>
  <c r="I103" i="43"/>
  <c r="I66" i="42"/>
  <c r="I87" i="20"/>
  <c r="E34" i="35"/>
  <c r="F34" i="35"/>
  <c r="J116" i="29"/>
  <c r="I36" i="17"/>
  <c r="I29" i="17" s="1"/>
  <c r="I32" i="17" s="1"/>
  <c r="I14" i="17" s="1"/>
  <c r="I18" i="17" s="1"/>
  <c r="H49" i="7" s="1"/>
  <c r="F36" i="17"/>
  <c r="F29" i="17" s="1"/>
  <c r="F32" i="17" s="1"/>
  <c r="F14" i="17" s="1"/>
  <c r="F18" i="17" s="1"/>
  <c r="E49" i="7" s="1"/>
  <c r="G116" i="29"/>
  <c r="E31" i="62"/>
  <c r="F80" i="18"/>
  <c r="E54" i="7"/>
  <c r="H80" i="18"/>
  <c r="G54" i="7"/>
  <c r="H130" i="29"/>
  <c r="O3" i="14"/>
  <c r="S3" i="14"/>
  <c r="K2" i="54"/>
  <c r="P3" i="12"/>
  <c r="O3" i="10"/>
  <c r="O3" i="11"/>
  <c r="X3" i="12"/>
  <c r="W3" i="10"/>
  <c r="W3" i="11"/>
  <c r="H83" i="18"/>
  <c r="A384" i="14"/>
  <c r="A16" i="13"/>
  <c r="D44" i="29"/>
  <c r="D43" i="29"/>
  <c r="D11" i="29" s="1"/>
  <c r="D103" i="29" s="1"/>
  <c r="F9" i="62"/>
  <c r="F8" i="62" s="1"/>
  <c r="H44" i="29"/>
  <c r="H43" i="29"/>
  <c r="H11" i="29" s="1"/>
  <c r="H103" i="29" s="1"/>
  <c r="H37" i="29"/>
  <c r="H9" i="62"/>
  <c r="H8" i="62" s="1"/>
  <c r="J9" i="62"/>
  <c r="J8" i="62" s="1"/>
  <c r="I38" i="29"/>
  <c r="N7" i="46"/>
  <c r="C80" i="18"/>
  <c r="B54" i="7"/>
  <c r="G80" i="18"/>
  <c r="F54" i="7"/>
  <c r="A217" i="11"/>
  <c r="A24" i="10" s="1"/>
  <c r="A6" i="10"/>
  <c r="A412" i="11"/>
  <c r="A29" i="10" s="1"/>
  <c r="A11" i="10"/>
  <c r="A497" i="11"/>
  <c r="A32" i="10" s="1"/>
  <c r="A14" i="10"/>
  <c r="A16" i="10"/>
  <c r="A541" i="11"/>
  <c r="A34" i="10" s="1"/>
  <c r="A661" i="11"/>
  <c r="A36" i="10" s="1"/>
  <c r="A18" i="10"/>
  <c r="N25" i="47"/>
  <c r="D49" i="8"/>
  <c r="H49" i="8"/>
  <c r="H57" i="8"/>
  <c r="C4" i="6"/>
  <c r="B8" i="6"/>
  <c r="G3" i="62"/>
  <c r="I2" i="61"/>
  <c r="L3" i="60"/>
  <c r="F2" i="58"/>
  <c r="F2" i="57"/>
  <c r="F2" i="56"/>
  <c r="F2" i="55"/>
  <c r="D2" i="54"/>
  <c r="F2" i="52"/>
  <c r="F2" i="45"/>
  <c r="F2" i="42"/>
  <c r="F2" i="41"/>
  <c r="F2" i="40"/>
  <c r="F2" i="38"/>
  <c r="G2" i="34"/>
  <c r="G2" i="29"/>
  <c r="F2" i="39"/>
  <c r="F2" i="35"/>
  <c r="G2" i="33"/>
  <c r="A3" i="31"/>
  <c r="F2" i="30"/>
  <c r="F2" i="43"/>
  <c r="H109" i="28"/>
  <c r="H155" i="28"/>
  <c r="H201" i="28"/>
  <c r="F2" i="27"/>
  <c r="H63" i="28"/>
  <c r="F2" i="26"/>
  <c r="F73" i="26"/>
  <c r="H2" i="25"/>
  <c r="H2" i="24"/>
  <c r="H2" i="23"/>
  <c r="F2" i="22"/>
  <c r="F2" i="20"/>
  <c r="F2" i="18"/>
  <c r="F2" i="17"/>
  <c r="F2" i="36"/>
  <c r="J2" i="28"/>
  <c r="F2" i="19"/>
  <c r="F2" i="16"/>
  <c r="F2" i="15"/>
  <c r="F2" i="14"/>
  <c r="F2" i="12"/>
  <c r="F2" i="11"/>
  <c r="F2" i="9"/>
  <c r="E2" i="7"/>
  <c r="F2" i="13"/>
  <c r="F2" i="10"/>
  <c r="F2" i="8"/>
  <c r="N3" i="60"/>
  <c r="L4" i="62"/>
  <c r="D3" i="59"/>
  <c r="J3" i="58"/>
  <c r="J3" i="57"/>
  <c r="J3" i="56"/>
  <c r="P3" i="50"/>
  <c r="P3" i="48"/>
  <c r="P3" i="46"/>
  <c r="J3" i="43"/>
  <c r="K3" i="42"/>
  <c r="J3" i="39"/>
  <c r="J3" i="36"/>
  <c r="I3" i="33"/>
  <c r="J3" i="30"/>
  <c r="L3" i="29"/>
  <c r="L3" i="61"/>
  <c r="J3" i="55"/>
  <c r="F3" i="54"/>
  <c r="J3" i="52"/>
  <c r="P3" i="47"/>
  <c r="O3" i="51"/>
  <c r="P3" i="49"/>
  <c r="J3" i="40"/>
  <c r="J3" i="38"/>
  <c r="K3" i="35"/>
  <c r="J3" i="41"/>
  <c r="L64" i="28"/>
  <c r="K3" i="27"/>
  <c r="I3" i="34"/>
  <c r="L110" i="28"/>
  <c r="L156" i="28"/>
  <c r="L202" i="28"/>
  <c r="K3" i="22"/>
  <c r="K3" i="20"/>
  <c r="J3" i="19"/>
  <c r="K3" i="17"/>
  <c r="J3" i="26"/>
  <c r="J74" i="26"/>
  <c r="L3" i="25"/>
  <c r="L3" i="24"/>
  <c r="L3" i="23"/>
  <c r="J3" i="18"/>
  <c r="K3" i="16"/>
  <c r="R2" i="14"/>
  <c r="W3" i="14"/>
  <c r="K3" i="15"/>
  <c r="J3" i="11"/>
  <c r="J3" i="8"/>
  <c r="J3" i="7"/>
  <c r="K3" i="14"/>
  <c r="K3" i="13"/>
  <c r="K3" i="12"/>
  <c r="J3" i="10"/>
  <c r="J3" i="9"/>
  <c r="H3" i="59"/>
  <c r="J2" i="54"/>
  <c r="N3" i="11"/>
  <c r="O3" i="12"/>
  <c r="N3" i="10"/>
  <c r="N2" i="54"/>
  <c r="R3" i="11"/>
  <c r="S3" i="12"/>
  <c r="R3" i="10"/>
  <c r="V3" i="11"/>
  <c r="W3" i="12"/>
  <c r="V3" i="10"/>
  <c r="J42" i="15"/>
  <c r="J55" i="15" s="1"/>
  <c r="J71" i="15"/>
  <c r="N28" i="46"/>
  <c r="E45" i="10"/>
  <c r="C45" i="10"/>
  <c r="J16" i="8"/>
  <c r="J37" i="9"/>
  <c r="H11" i="10"/>
  <c r="H20" i="10" s="1"/>
  <c r="H39" i="10" s="1"/>
  <c r="J21" i="8"/>
  <c r="G709" i="11"/>
  <c r="G45" i="10" s="1"/>
  <c r="I707" i="11"/>
  <c r="I78" i="9"/>
  <c r="I26" i="10"/>
  <c r="O26" i="47" s="1"/>
  <c r="N26" i="47" s="1"/>
  <c r="F709" i="11"/>
  <c r="F716" i="11"/>
  <c r="K92" i="9"/>
  <c r="K35" i="10"/>
  <c r="Q35" i="47" s="1"/>
  <c r="C149" i="9"/>
  <c r="C141" i="9"/>
  <c r="G141" i="9"/>
  <c r="G25" i="8"/>
  <c r="K25" i="15"/>
  <c r="H707" i="11"/>
  <c r="K66" i="42"/>
  <c r="K10" i="8"/>
  <c r="K15" i="9"/>
  <c r="K121" i="9"/>
  <c r="A29" i="13"/>
  <c r="A28" i="49" s="1"/>
  <c r="A10" i="49"/>
  <c r="A10" i="59"/>
  <c r="A29" i="59" s="1"/>
  <c r="K80" i="9"/>
  <c r="K79" i="9" s="1"/>
  <c r="K31" i="8" s="1"/>
  <c r="Q31" i="48" s="1"/>
  <c r="K34" i="10"/>
  <c r="Q34" i="47" s="1"/>
  <c r="D141" i="9"/>
  <c r="J5" i="8"/>
  <c r="A15" i="47"/>
  <c r="A33" i="47" s="1"/>
  <c r="M2" i="21"/>
  <c r="K7" i="8"/>
  <c r="K5" i="9"/>
  <c r="G5" i="29"/>
  <c r="F23" i="27"/>
  <c r="F39" i="27"/>
  <c r="G7" i="29" s="1"/>
  <c r="G117" i="29" s="1"/>
  <c r="F5" i="17"/>
  <c r="E45" i="7"/>
  <c r="G8" i="17"/>
  <c r="H26" i="23"/>
  <c r="N6" i="47"/>
  <c r="J46" i="8"/>
  <c r="K88" i="9"/>
  <c r="K37" i="10"/>
  <c r="Q37" i="47" s="1"/>
  <c r="G130" i="29"/>
  <c r="L41" i="29"/>
  <c r="M41" i="29"/>
  <c r="Q24" i="47"/>
  <c r="K37" i="29"/>
  <c r="L17" i="29"/>
  <c r="J56" i="7"/>
  <c r="J84" i="18"/>
  <c r="L101" i="29" s="1"/>
  <c r="E100" i="57"/>
  <c r="K57" i="29" l="1"/>
  <c r="K18" i="29" s="1"/>
  <c r="K40" i="13"/>
  <c r="L26" i="25" s="1"/>
  <c r="K12" i="29"/>
  <c r="P49" i="51"/>
  <c r="L26" i="16" s="1"/>
  <c r="K53" i="13"/>
  <c r="K63" i="13" s="1"/>
  <c r="L42" i="15"/>
  <c r="L55" i="15" s="1"/>
  <c r="K85" i="57"/>
  <c r="K100" i="57"/>
  <c r="L162" i="20"/>
  <c r="K84" i="18"/>
  <c r="M101" i="29" s="1"/>
  <c r="M17" i="29"/>
  <c r="K56" i="7"/>
  <c r="J121" i="9"/>
  <c r="I38" i="10"/>
  <c r="J78" i="9"/>
  <c r="P12" i="46"/>
  <c r="L12" i="12"/>
  <c r="L51" i="29"/>
  <c r="L26" i="62"/>
  <c r="L23" i="62" s="1"/>
  <c r="J9" i="7"/>
  <c r="K38" i="10"/>
  <c r="J102" i="43"/>
  <c r="J103" i="43" s="1"/>
  <c r="D57" i="8"/>
  <c r="K37" i="62"/>
  <c r="K58" i="62" s="1"/>
  <c r="O36" i="46"/>
  <c r="G8" i="29"/>
  <c r="H149" i="9"/>
  <c r="K97" i="29"/>
  <c r="K99" i="29"/>
  <c r="D149" i="9"/>
  <c r="G149" i="9"/>
  <c r="G715" i="11"/>
  <c r="H36" i="29"/>
  <c r="H9" i="29" s="1"/>
  <c r="F36" i="29"/>
  <c r="F9" i="29" s="1"/>
  <c r="E78" i="62"/>
  <c r="L36" i="12"/>
  <c r="L7" i="27" s="1"/>
  <c r="M121" i="29" s="1"/>
  <c r="F26" i="23"/>
  <c r="J11" i="7"/>
  <c r="P25" i="46"/>
  <c r="K42" i="62"/>
  <c r="J68" i="18"/>
  <c r="J13" i="7"/>
  <c r="J18" i="7" s="1"/>
  <c r="P28" i="46"/>
  <c r="J97" i="58"/>
  <c r="Q5" i="46"/>
  <c r="M92" i="29"/>
  <c r="M45" i="29"/>
  <c r="K5" i="7"/>
  <c r="K36" i="21"/>
  <c r="K38" i="21" s="1"/>
  <c r="K42" i="21" s="1"/>
  <c r="R30" i="21"/>
  <c r="R36" i="21" s="1"/>
  <c r="F58" i="62"/>
  <c r="F80" i="62" s="1"/>
  <c r="H78" i="62"/>
  <c r="J36" i="29"/>
  <c r="J9" i="29" s="1"/>
  <c r="E32" i="27"/>
  <c r="D11" i="7"/>
  <c r="Q28" i="46"/>
  <c r="K68" i="18"/>
  <c r="K13" i="7"/>
  <c r="G87" i="29"/>
  <c r="E19" i="7"/>
  <c r="E22" i="7" s="1"/>
  <c r="E24" i="7" s="1"/>
  <c r="L45" i="29"/>
  <c r="L37" i="29" s="1"/>
  <c r="P5" i="46"/>
  <c r="L92" i="29"/>
  <c r="J5" i="7"/>
  <c r="I18" i="7"/>
  <c r="K97" i="58"/>
  <c r="J7" i="27"/>
  <c r="K121" i="29" s="1"/>
  <c r="K27" i="24"/>
  <c r="Q8" i="46"/>
  <c r="M47" i="29"/>
  <c r="P32" i="46"/>
  <c r="P36" i="46" s="1"/>
  <c r="L40" i="62"/>
  <c r="K46" i="27"/>
  <c r="Q38" i="47"/>
  <c r="K85" i="9"/>
  <c r="K84" i="9" s="1"/>
  <c r="I716" i="11"/>
  <c r="H153" i="11"/>
  <c r="H715" i="11" s="1"/>
  <c r="N36" i="46"/>
  <c r="K36" i="12"/>
  <c r="L27" i="24" s="1"/>
  <c r="I39" i="8"/>
  <c r="I106" i="9"/>
  <c r="P8" i="46"/>
  <c r="L47" i="29"/>
  <c r="L39" i="29" s="1"/>
  <c r="M40" i="62"/>
  <c r="K17" i="7"/>
  <c r="Q32" i="46"/>
  <c r="Q36" i="46" s="1"/>
  <c r="I5" i="8"/>
  <c r="O5" i="48" s="1"/>
  <c r="N5" i="48" s="1"/>
  <c r="E100" i="56"/>
  <c r="C100" i="56"/>
  <c r="D57" i="29"/>
  <c r="D18" i="29" s="1"/>
  <c r="J26" i="25"/>
  <c r="D97" i="55"/>
  <c r="K52" i="29"/>
  <c r="K13" i="29" s="1"/>
  <c r="K122" i="29" s="1"/>
  <c r="D100" i="56"/>
  <c r="J12" i="29"/>
  <c r="D48" i="27"/>
  <c r="D9" i="27" s="1"/>
  <c r="E57" i="29"/>
  <c r="E18" i="29" s="1"/>
  <c r="O15" i="50"/>
  <c r="J63" i="13"/>
  <c r="H100" i="56"/>
  <c r="K26" i="25"/>
  <c r="J48" i="27"/>
  <c r="J9" i="27" s="1"/>
  <c r="E21" i="59"/>
  <c r="E60" i="59" s="1"/>
  <c r="L40" i="13"/>
  <c r="L48" i="27" s="1"/>
  <c r="L9" i="27" s="1"/>
  <c r="C97" i="55"/>
  <c r="H97" i="55"/>
  <c r="C48" i="27"/>
  <c r="C9" i="27" s="1"/>
  <c r="D52" i="29"/>
  <c r="D13" i="29" s="1"/>
  <c r="D122" i="29" s="1"/>
  <c r="I52" i="29"/>
  <c r="I13" i="29" s="1"/>
  <c r="I122" i="29" s="1"/>
  <c r="L54" i="13"/>
  <c r="Q16" i="50" s="1"/>
  <c r="J52" i="29"/>
  <c r="J13" i="29" s="1"/>
  <c r="J122" i="29" s="1"/>
  <c r="J57" i="29"/>
  <c r="J18" i="29" s="1"/>
  <c r="E12" i="29"/>
  <c r="F26" i="25"/>
  <c r="P15" i="50"/>
  <c r="P25" i="50" s="1"/>
  <c r="L53" i="13"/>
  <c r="H12" i="29"/>
  <c r="H52" i="29"/>
  <c r="H13" i="29" s="1"/>
  <c r="H122" i="29" s="1"/>
  <c r="H57" i="29"/>
  <c r="H18" i="29" s="1"/>
  <c r="G48" i="27"/>
  <c r="G9" i="27" s="1"/>
  <c r="I26" i="25"/>
  <c r="J8" i="18"/>
  <c r="J6" i="55"/>
  <c r="J77" i="55" s="1"/>
  <c r="J54" i="18"/>
  <c r="I57" i="18"/>
  <c r="I65" i="18" s="1"/>
  <c r="G97" i="55"/>
  <c r="E48" i="27"/>
  <c r="E9" i="27" s="1"/>
  <c r="F57" i="29"/>
  <c r="F18" i="29" s="1"/>
  <c r="F12" i="29"/>
  <c r="F52" i="29"/>
  <c r="F13" i="29" s="1"/>
  <c r="F122" i="29" s="1"/>
  <c r="G26" i="25"/>
  <c r="K8" i="18"/>
  <c r="K6" i="55"/>
  <c r="K77" i="55" s="1"/>
  <c r="I97" i="55"/>
  <c r="I38" i="18"/>
  <c r="I41" i="18" s="1"/>
  <c r="I49" i="18" s="1"/>
  <c r="I11" i="18"/>
  <c r="I5" i="18" s="1"/>
  <c r="O10" i="49"/>
  <c r="N10" i="49" s="1"/>
  <c r="N20" i="49" s="1"/>
  <c r="N39" i="49" s="1"/>
  <c r="C10" i="59"/>
  <c r="C21" i="59" s="1"/>
  <c r="D10" i="59"/>
  <c r="D21" i="59" s="1"/>
  <c r="D60" i="59" s="1"/>
  <c r="P10" i="49"/>
  <c r="P20" i="49" s="1"/>
  <c r="F6" i="29"/>
  <c r="E19" i="17"/>
  <c r="D48" i="7"/>
  <c r="D50" i="7" s="1"/>
  <c r="J6" i="29"/>
  <c r="I19" i="17"/>
  <c r="H48" i="7"/>
  <c r="H50" i="7" s="1"/>
  <c r="H6" i="29"/>
  <c r="G19" i="17"/>
  <c r="F48" i="7"/>
  <c r="F50" i="7" s="1"/>
  <c r="F8" i="17"/>
  <c r="F6" i="17"/>
  <c r="Q7" i="48"/>
  <c r="K5" i="8"/>
  <c r="P5" i="48"/>
  <c r="Q10" i="48"/>
  <c r="K9" i="8"/>
  <c r="Q9" i="48" s="1"/>
  <c r="K42" i="15"/>
  <c r="K55" i="15" s="1"/>
  <c r="K71" i="15"/>
  <c r="P21" i="48"/>
  <c r="J15" i="8"/>
  <c r="P15" i="48" s="1"/>
  <c r="P16" i="48"/>
  <c r="O38" i="47"/>
  <c r="A16" i="47"/>
  <c r="A34" i="47" s="1"/>
  <c r="N2" i="21"/>
  <c r="J15" i="62"/>
  <c r="J14" i="62" s="1"/>
  <c r="J11" i="62" s="1"/>
  <c r="J31" i="62"/>
  <c r="A34" i="13"/>
  <c r="A33" i="49" s="1"/>
  <c r="A15" i="59"/>
  <c r="A34" i="59" s="1"/>
  <c r="A15" i="49"/>
  <c r="E77" i="62"/>
  <c r="E59" i="62"/>
  <c r="E66" i="62" s="1"/>
  <c r="E68" i="62" s="1"/>
  <c r="I89" i="20"/>
  <c r="I33" i="12" s="1"/>
  <c r="I46" i="27"/>
  <c r="I39" i="27" s="1"/>
  <c r="J7" i="29" s="1"/>
  <c r="J117" i="29" s="1"/>
  <c r="M53" i="29"/>
  <c r="L45" i="16"/>
  <c r="K28" i="8"/>
  <c r="Q29" i="48"/>
  <c r="J85" i="9"/>
  <c r="O10" i="48"/>
  <c r="N10" i="48" s="1"/>
  <c r="I9" i="8"/>
  <c r="Q45" i="49"/>
  <c r="Q39" i="49"/>
  <c r="L54" i="62"/>
  <c r="L53" i="62" s="1"/>
  <c r="K27" i="16"/>
  <c r="J43" i="7" s="1"/>
  <c r="N63" i="51"/>
  <c r="N52" i="51"/>
  <c r="N54" i="51" s="1"/>
  <c r="J17" i="16"/>
  <c r="K50" i="62"/>
  <c r="K49" i="62" s="1"/>
  <c r="J46" i="16"/>
  <c r="C57" i="8"/>
  <c r="C49" i="8"/>
  <c r="O21" i="48"/>
  <c r="N21" i="48" s="1"/>
  <c r="O16" i="48"/>
  <c r="I15" i="8"/>
  <c r="O15" i="48" s="1"/>
  <c r="Q2" i="21"/>
  <c r="A19" i="47"/>
  <c r="A37" i="47" s="1"/>
  <c r="M10" i="21"/>
  <c r="J22" i="20"/>
  <c r="I104" i="11"/>
  <c r="K2" i="21"/>
  <c r="A13" i="47"/>
  <c r="A31" i="47" s="1"/>
  <c r="A10" i="47"/>
  <c r="A28" i="47" s="1"/>
  <c r="H2" i="21"/>
  <c r="A7" i="47"/>
  <c r="A25" i="47" s="1"/>
  <c r="E2" i="21"/>
  <c r="A27" i="13"/>
  <c r="A26" i="49" s="1"/>
  <c r="A8" i="59"/>
  <c r="A27" i="59" s="1"/>
  <c r="A8" i="49"/>
  <c r="A5" i="47"/>
  <c r="A23" i="47" s="1"/>
  <c r="C2" i="21"/>
  <c r="G36" i="29"/>
  <c r="G9" i="29" s="1"/>
  <c r="I71" i="15"/>
  <c r="I42" i="15"/>
  <c r="I55" i="15" s="1"/>
  <c r="G71" i="15"/>
  <c r="G42" i="15"/>
  <c r="G55" i="15" s="1"/>
  <c r="H8" i="17"/>
  <c r="H6" i="17"/>
  <c r="D8" i="17"/>
  <c r="D6" i="17"/>
  <c r="G89" i="20"/>
  <c r="G33" i="12" s="1"/>
  <c r="G46" i="27"/>
  <c r="G39" i="27" s="1"/>
  <c r="H7" i="29" s="1"/>
  <c r="H117" i="29" s="1"/>
  <c r="C89" i="20"/>
  <c r="C33" i="12" s="1"/>
  <c r="C46" i="27"/>
  <c r="C39" i="27" s="1"/>
  <c r="D7" i="29" s="1"/>
  <c r="D117" i="29" s="1"/>
  <c r="D89" i="20"/>
  <c r="D33" i="12" s="1"/>
  <c r="D46" i="27"/>
  <c r="D39" i="27" s="1"/>
  <c r="E7" i="29" s="1"/>
  <c r="E117" i="29" s="1"/>
  <c r="H103" i="43"/>
  <c r="H33" i="27"/>
  <c r="J107" i="9"/>
  <c r="K102" i="43"/>
  <c r="K49" i="43"/>
  <c r="I78" i="62"/>
  <c r="I9" i="62"/>
  <c r="I8" i="62" s="1"/>
  <c r="E36" i="29"/>
  <c r="E9" i="29" s="1"/>
  <c r="M113" i="29"/>
  <c r="M114" i="29"/>
  <c r="E89" i="20"/>
  <c r="E33" i="12" s="1"/>
  <c r="E46" i="27"/>
  <c r="E39" i="27" s="1"/>
  <c r="F7" i="29" s="1"/>
  <c r="F117" i="29" s="1"/>
  <c r="H89" i="20"/>
  <c r="H33" i="12" s="1"/>
  <c r="H46" i="27"/>
  <c r="H39" i="27" s="1"/>
  <c r="I7" i="29" s="1"/>
  <c r="I117" i="29" s="1"/>
  <c r="K107" i="9"/>
  <c r="K33" i="8"/>
  <c r="P46" i="48"/>
  <c r="J42" i="8"/>
  <c r="P42" i="48" s="1"/>
  <c r="K48" i="27"/>
  <c r="K9" i="27" s="1"/>
  <c r="G57" i="8"/>
  <c r="G49" i="8"/>
  <c r="I30" i="8"/>
  <c r="I74" i="9"/>
  <c r="J74" i="9"/>
  <c r="J30" i="8"/>
  <c r="H709" i="11"/>
  <c r="H45" i="10" s="1"/>
  <c r="N38" i="47"/>
  <c r="P2" i="21"/>
  <c r="A18" i="47"/>
  <c r="A36" i="47" s="1"/>
  <c r="A14" i="47"/>
  <c r="A32" i="47" s="1"/>
  <c r="L2" i="21"/>
  <c r="I2" i="21"/>
  <c r="A11" i="47"/>
  <c r="A29" i="47" s="1"/>
  <c r="A6" i="47"/>
  <c r="A24" i="47" s="1"/>
  <c r="D2" i="21"/>
  <c r="H15" i="62"/>
  <c r="H14" i="62" s="1"/>
  <c r="H11" i="62" s="1"/>
  <c r="H31" i="62"/>
  <c r="F15" i="62"/>
  <c r="F14" i="62" s="1"/>
  <c r="F11" i="62" s="1"/>
  <c r="F31" i="62"/>
  <c r="D71" i="62"/>
  <c r="D72" i="62" s="1"/>
  <c r="D13" i="62" s="1"/>
  <c r="K74" i="9"/>
  <c r="O46" i="48"/>
  <c r="N46" i="48" s="1"/>
  <c r="I42" i="8"/>
  <c r="O42" i="48" s="1"/>
  <c r="N42" i="48" s="1"/>
  <c r="F57" i="22"/>
  <c r="F62" i="22" s="1"/>
  <c r="F70" i="22" s="1"/>
  <c r="F81" i="22" s="1"/>
  <c r="F48" i="12"/>
  <c r="F58" i="12"/>
  <c r="D6" i="29"/>
  <c r="C19" i="17"/>
  <c r="B48" i="7"/>
  <c r="B50" i="7" s="1"/>
  <c r="K16" i="16"/>
  <c r="O46" i="51"/>
  <c r="M52" i="51"/>
  <c r="M54" i="51" s="1"/>
  <c r="M63" i="51"/>
  <c r="F45" i="10"/>
  <c r="F49" i="8"/>
  <c r="F57" i="8"/>
  <c r="A17" i="47"/>
  <c r="A35" i="47" s="1"/>
  <c r="O2" i="21"/>
  <c r="A12" i="47"/>
  <c r="A30" i="47" s="1"/>
  <c r="J2" i="21"/>
  <c r="E71" i="15"/>
  <c r="E42" i="15"/>
  <c r="E55" i="15" s="1"/>
  <c r="C71" i="15"/>
  <c r="C42" i="15"/>
  <c r="C55" i="15" s="1"/>
  <c r="M22" i="62"/>
  <c r="Q16" i="46"/>
  <c r="P25" i="47"/>
  <c r="P38" i="47" s="1"/>
  <c r="J38" i="10"/>
  <c r="G78" i="62"/>
  <c r="G9" i="62"/>
  <c r="G8" i="62" s="1"/>
  <c r="G2" i="21"/>
  <c r="A9" i="47"/>
  <c r="A27" i="47" s="1"/>
  <c r="I36" i="29"/>
  <c r="I9" i="29" s="1"/>
  <c r="F103" i="43"/>
  <c r="F33" i="27"/>
  <c r="D103" i="43"/>
  <c r="D33" i="27"/>
  <c r="P10" i="48"/>
  <c r="J9" i="8"/>
  <c r="P9" i="48" s="1"/>
  <c r="J97" i="55" l="1"/>
  <c r="M12" i="29"/>
  <c r="M54" i="62"/>
  <c r="M53" i="62" s="1"/>
  <c r="L52" i="29"/>
  <c r="L13" i="29" s="1"/>
  <c r="L122" i="29" s="1"/>
  <c r="L57" i="29"/>
  <c r="L18" i="29" s="1"/>
  <c r="L12" i="29"/>
  <c r="M26" i="25"/>
  <c r="J100" i="56"/>
  <c r="L27" i="16"/>
  <c r="K43" i="7" s="1"/>
  <c r="K97" i="55"/>
  <c r="M52" i="29"/>
  <c r="M13" i="29" s="1"/>
  <c r="M122" i="29" s="1"/>
  <c r="K100" i="56"/>
  <c r="E54" i="59"/>
  <c r="K7" i="27"/>
  <c r="L121" i="29" s="1"/>
  <c r="M51" i="29"/>
  <c r="Q12" i="46"/>
  <c r="M26" i="62"/>
  <c r="M23" i="62" s="1"/>
  <c r="K9" i="7"/>
  <c r="K716" i="11"/>
  <c r="M27" i="24"/>
  <c r="L97" i="29"/>
  <c r="M97" i="29"/>
  <c r="K18" i="7"/>
  <c r="K86" i="57" s="1"/>
  <c r="L87" i="29"/>
  <c r="L131" i="29" s="1"/>
  <c r="L96" i="29"/>
  <c r="J86" i="57"/>
  <c r="K87" i="29"/>
  <c r="K131" i="29" s="1"/>
  <c r="I86" i="57"/>
  <c r="G131" i="29"/>
  <c r="G88" i="29"/>
  <c r="G132" i="29" s="1"/>
  <c r="K83" i="18"/>
  <c r="K86" i="56"/>
  <c r="K80" i="18"/>
  <c r="K54" i="7"/>
  <c r="F99" i="29"/>
  <c r="F97" i="29"/>
  <c r="G97" i="29"/>
  <c r="M37" i="29"/>
  <c r="J54" i="7"/>
  <c r="J83" i="18"/>
  <c r="J80" i="18"/>
  <c r="J86" i="56"/>
  <c r="M96" i="29"/>
  <c r="L37" i="62"/>
  <c r="L58" i="62" s="1"/>
  <c r="L42" i="62"/>
  <c r="M39" i="29"/>
  <c r="J716" i="11"/>
  <c r="I140" i="9"/>
  <c r="I150" i="9" s="1"/>
  <c r="M37" i="62"/>
  <c r="M58" i="62" s="1"/>
  <c r="M42" i="62"/>
  <c r="O39" i="48"/>
  <c r="N39" i="48" s="1"/>
  <c r="I38" i="8"/>
  <c r="O38" i="48" s="1"/>
  <c r="N38" i="48" s="1"/>
  <c r="M57" i="29"/>
  <c r="M18" i="29" s="1"/>
  <c r="I27" i="7"/>
  <c r="K112" i="29" s="1"/>
  <c r="J85" i="13"/>
  <c r="O25" i="50"/>
  <c r="N15" i="50"/>
  <c r="N25" i="50" s="1"/>
  <c r="D54" i="59"/>
  <c r="Q15" i="50"/>
  <c r="Q25" i="50" s="1"/>
  <c r="L63" i="13"/>
  <c r="K85" i="13"/>
  <c r="J27" i="7"/>
  <c r="L112" i="29" s="1"/>
  <c r="P39" i="49"/>
  <c r="P45" i="49"/>
  <c r="C54" i="59"/>
  <c r="C60" i="59"/>
  <c r="I95" i="18"/>
  <c r="H53" i="7"/>
  <c r="I85" i="18"/>
  <c r="K102" i="29" s="1"/>
  <c r="I53" i="7"/>
  <c r="I82" i="18"/>
  <c r="I85" i="56"/>
  <c r="K38" i="18"/>
  <c r="K41" i="18" s="1"/>
  <c r="K49" i="18" s="1"/>
  <c r="K11" i="18"/>
  <c r="K5" i="18" s="1"/>
  <c r="O20" i="49"/>
  <c r="K54" i="18"/>
  <c r="K57" i="18" s="1"/>
  <c r="K65" i="18" s="1"/>
  <c r="J57" i="18"/>
  <c r="J65" i="18" s="1"/>
  <c r="J38" i="18"/>
  <c r="J41" i="18" s="1"/>
  <c r="J49" i="18" s="1"/>
  <c r="J11" i="18"/>
  <c r="J5" i="18" s="1"/>
  <c r="M64" i="51"/>
  <c r="M56" i="51"/>
  <c r="P46" i="51"/>
  <c r="L16" i="16"/>
  <c r="P30" i="48"/>
  <c r="J28" i="8"/>
  <c r="K32" i="8"/>
  <c r="Q32" i="48" s="1"/>
  <c r="Q33" i="48"/>
  <c r="K103" i="43"/>
  <c r="I15" i="10"/>
  <c r="I60" i="9"/>
  <c r="I153" i="11"/>
  <c r="J104" i="11"/>
  <c r="K104" i="11"/>
  <c r="K80" i="62"/>
  <c r="J47" i="16"/>
  <c r="J50" i="16" s="1"/>
  <c r="I42" i="7"/>
  <c r="J38" i="16"/>
  <c r="I36" i="12"/>
  <c r="H16" i="7"/>
  <c r="H18" i="7" s="1"/>
  <c r="J77" i="62"/>
  <c r="J59" i="62"/>
  <c r="J66" i="62" s="1"/>
  <c r="J68" i="62" s="1"/>
  <c r="G6" i="29"/>
  <c r="F19" i="17"/>
  <c r="E48" i="7"/>
  <c r="E50" i="7" s="1"/>
  <c r="H124" i="29"/>
  <c r="H133" i="29"/>
  <c r="H134" i="29" s="1"/>
  <c r="H135" i="29" s="1"/>
  <c r="F124" i="29"/>
  <c r="F133" i="29"/>
  <c r="F134" i="29" s="1"/>
  <c r="F135" i="29" s="1"/>
  <c r="G15" i="62"/>
  <c r="G14" i="62" s="1"/>
  <c r="G11" i="62" s="1"/>
  <c r="G31" i="62"/>
  <c r="O52" i="51"/>
  <c r="O54" i="51" s="1"/>
  <c r="O64" i="51" s="1"/>
  <c r="O63" i="51"/>
  <c r="L50" i="62"/>
  <c r="L49" i="62" s="1"/>
  <c r="K17" i="16"/>
  <c r="D124" i="29"/>
  <c r="D133" i="29"/>
  <c r="D134" i="29" s="1"/>
  <c r="D135" i="29" s="1"/>
  <c r="D78" i="62"/>
  <c r="D9" i="62"/>
  <c r="D8" i="62" s="1"/>
  <c r="F77" i="62"/>
  <c r="F59" i="62"/>
  <c r="F66" i="62" s="1"/>
  <c r="F68" i="62" s="1"/>
  <c r="H59" i="62"/>
  <c r="H66" i="62" s="1"/>
  <c r="H68" i="62" s="1"/>
  <c r="H77" i="62"/>
  <c r="O30" i="48"/>
  <c r="N30" i="48" s="1"/>
  <c r="I28" i="8"/>
  <c r="K39" i="8"/>
  <c r="K106" i="9"/>
  <c r="K140" i="9" s="1"/>
  <c r="K150" i="9" s="1"/>
  <c r="G16" i="7"/>
  <c r="G18" i="7" s="1"/>
  <c r="H36" i="12"/>
  <c r="E36" i="12"/>
  <c r="D16" i="7"/>
  <c r="D18" i="7" s="1"/>
  <c r="I31" i="62"/>
  <c r="I15" i="62"/>
  <c r="I14" i="62" s="1"/>
  <c r="I11" i="62" s="1"/>
  <c r="J39" i="8"/>
  <c r="J106" i="9"/>
  <c r="D36" i="12"/>
  <c r="C16" i="7"/>
  <c r="C18" i="7" s="1"/>
  <c r="B16" i="7"/>
  <c r="B18" i="7" s="1"/>
  <c r="C36" i="12"/>
  <c r="G36" i="12"/>
  <c r="F16" i="7"/>
  <c r="F18" i="7" s="1"/>
  <c r="E6" i="29"/>
  <c r="D19" i="17"/>
  <c r="C48" i="7"/>
  <c r="C50" i="7" s="1"/>
  <c r="I6" i="29"/>
  <c r="H19" i="17"/>
  <c r="G48" i="7"/>
  <c r="G50" i="7" s="1"/>
  <c r="J24" i="20"/>
  <c r="J9" i="12" s="1"/>
  <c r="K22" i="20"/>
  <c r="R10" i="21"/>
  <c r="R22" i="21" s="1"/>
  <c r="R38" i="21" s="1"/>
  <c r="R42" i="21" s="1"/>
  <c r="M22" i="21"/>
  <c r="M38" i="21" s="1"/>
  <c r="M42" i="21" s="1"/>
  <c r="C15" i="48"/>
  <c r="C25" i="48" s="1"/>
  <c r="C50" i="48" s="1"/>
  <c r="C53" i="48" s="1"/>
  <c r="N16" i="48"/>
  <c r="N56" i="51"/>
  <c r="O55" i="51" s="1"/>
  <c r="O56" i="51" s="1"/>
  <c r="P55" i="51" s="1"/>
  <c r="N64" i="51"/>
  <c r="K46" i="16"/>
  <c r="O9" i="48"/>
  <c r="J84" i="9"/>
  <c r="J33" i="8"/>
  <c r="Q28" i="48"/>
  <c r="Q5" i="48"/>
  <c r="J124" i="29"/>
  <c r="J133" i="29"/>
  <c r="J134" i="29" s="1"/>
  <c r="J135" i="29" s="1"/>
  <c r="M87" i="29" l="1"/>
  <c r="M131" i="29" s="1"/>
  <c r="J140" i="9"/>
  <c r="J150" i="9" s="1"/>
  <c r="L85" i="13"/>
  <c r="K27" i="7"/>
  <c r="M112" i="29" s="1"/>
  <c r="J82" i="18"/>
  <c r="J85" i="56"/>
  <c r="K95" i="18"/>
  <c r="K53" i="7"/>
  <c r="K85" i="18"/>
  <c r="M102" i="29" s="1"/>
  <c r="J95" i="18"/>
  <c r="J53" i="7"/>
  <c r="J85" i="18"/>
  <c r="L102" i="29" s="1"/>
  <c r="O45" i="49"/>
  <c r="O39" i="49"/>
  <c r="K82" i="18"/>
  <c r="K85" i="56"/>
  <c r="J32" i="8"/>
  <c r="P32" i="48" s="1"/>
  <c r="P33" i="48"/>
  <c r="K47" i="16"/>
  <c r="K50" i="16" s="1"/>
  <c r="L80" i="62"/>
  <c r="K48" i="29"/>
  <c r="O9" i="46"/>
  <c r="I6" i="7"/>
  <c r="K17" i="27"/>
  <c r="J18" i="27"/>
  <c r="J38" i="27"/>
  <c r="J22" i="12"/>
  <c r="K54" i="29"/>
  <c r="K10" i="29" s="1"/>
  <c r="K76" i="62"/>
  <c r="K71" i="62" s="1"/>
  <c r="I133" i="29"/>
  <c r="I134" i="29" s="1"/>
  <c r="I135" i="29" s="1"/>
  <c r="I124" i="29"/>
  <c r="G7" i="27"/>
  <c r="H121" i="29" s="1"/>
  <c r="I27" i="24"/>
  <c r="G38" i="12"/>
  <c r="G42" i="12" s="1"/>
  <c r="G58" i="8"/>
  <c r="G716" i="11"/>
  <c r="G150" i="9"/>
  <c r="D87" i="29"/>
  <c r="B19" i="7"/>
  <c r="B22" i="7" s="1"/>
  <c r="B24" i="7" s="1"/>
  <c r="C86" i="57"/>
  <c r="D7" i="27"/>
  <c r="E121" i="29" s="1"/>
  <c r="F27" i="24"/>
  <c r="D38" i="12"/>
  <c r="D42" i="12" s="1"/>
  <c r="D716" i="11"/>
  <c r="D150" i="9"/>
  <c r="D58" i="8"/>
  <c r="J38" i="8"/>
  <c r="P38" i="48" s="1"/>
  <c r="P39" i="48"/>
  <c r="I59" i="62"/>
  <c r="I66" i="62" s="1"/>
  <c r="I68" i="62" s="1"/>
  <c r="I77" i="62"/>
  <c r="G27" i="24"/>
  <c r="E716" i="11"/>
  <c r="E7" i="27"/>
  <c r="F121" i="29" s="1"/>
  <c r="E38" i="12"/>
  <c r="E42" i="12" s="1"/>
  <c r="E58" i="8"/>
  <c r="E150" i="9"/>
  <c r="I87" i="29"/>
  <c r="I96" i="29"/>
  <c r="G19" i="7"/>
  <c r="G22" i="7" s="1"/>
  <c r="G24" i="7" s="1"/>
  <c r="H86" i="57"/>
  <c r="K38" i="8"/>
  <c r="Q39" i="48"/>
  <c r="D15" i="62"/>
  <c r="D14" i="62" s="1"/>
  <c r="D11" i="62" s="1"/>
  <c r="D31" i="62"/>
  <c r="J96" i="29"/>
  <c r="J87" i="29"/>
  <c r="H19" i="7"/>
  <c r="H22" i="7" s="1"/>
  <c r="H24" i="7" s="1"/>
  <c r="K60" i="9"/>
  <c r="K59" i="9" s="1"/>
  <c r="K15" i="10"/>
  <c r="K153" i="11"/>
  <c r="I709" i="11"/>
  <c r="O15" i="47"/>
  <c r="I20" i="10"/>
  <c r="I39" i="10" s="1"/>
  <c r="M50" i="62"/>
  <c r="M49" i="62" s="1"/>
  <c r="L46" i="16"/>
  <c r="L17" i="16"/>
  <c r="N9" i="48"/>
  <c r="K24" i="20"/>
  <c r="K9" i="12" s="1"/>
  <c r="L22" i="20"/>
  <c r="L24" i="20" s="1"/>
  <c r="L9" i="12" s="1"/>
  <c r="E133" i="29"/>
  <c r="E134" i="29" s="1"/>
  <c r="E135" i="29" s="1"/>
  <c r="E124" i="29"/>
  <c r="H96" i="29"/>
  <c r="H87" i="29"/>
  <c r="F19" i="7"/>
  <c r="F22" i="7" s="1"/>
  <c r="F24" i="7" s="1"/>
  <c r="K96" i="29"/>
  <c r="G86" i="57"/>
  <c r="C7" i="27"/>
  <c r="D121" i="29" s="1"/>
  <c r="C38" i="12"/>
  <c r="C42" i="12" s="1"/>
  <c r="E27" i="24"/>
  <c r="C150" i="9"/>
  <c r="C58" i="8"/>
  <c r="C716" i="11"/>
  <c r="E96" i="29"/>
  <c r="E87" i="29"/>
  <c r="C19" i="7"/>
  <c r="C22" i="7" s="1"/>
  <c r="C24" i="7" s="1"/>
  <c r="D86" i="57"/>
  <c r="G96" i="29"/>
  <c r="F96" i="29"/>
  <c r="F87" i="29"/>
  <c r="D19" i="7"/>
  <c r="D22" i="7" s="1"/>
  <c r="D24" i="7" s="1"/>
  <c r="E86" i="57"/>
  <c r="H7" i="27"/>
  <c r="I121" i="29" s="1"/>
  <c r="J27" i="24"/>
  <c r="H38" i="12"/>
  <c r="H42" i="12" s="1"/>
  <c r="H58" i="8"/>
  <c r="H150" i="9"/>
  <c r="H716" i="11"/>
  <c r="I48" i="8"/>
  <c r="I58" i="8" s="1"/>
  <c r="O28" i="48"/>
  <c r="J42" i="7"/>
  <c r="K38" i="16"/>
  <c r="G59" i="62"/>
  <c r="G66" i="62" s="1"/>
  <c r="G68" i="62" s="1"/>
  <c r="G77" i="62"/>
  <c r="G133" i="29"/>
  <c r="G134" i="29" s="1"/>
  <c r="G135" i="29" s="1"/>
  <c r="G124" i="29"/>
  <c r="I7" i="27"/>
  <c r="J121" i="29" s="1"/>
  <c r="I38" i="12"/>
  <c r="I42" i="12" s="1"/>
  <c r="J51" i="16"/>
  <c r="K67" i="62"/>
  <c r="J40" i="16"/>
  <c r="N15" i="48"/>
  <c r="J15" i="10"/>
  <c r="J153" i="11"/>
  <c r="J60" i="9"/>
  <c r="J59" i="9" s="1"/>
  <c r="I59" i="9"/>
  <c r="P28" i="48"/>
  <c r="J48" i="8"/>
  <c r="J58" i="8" s="1"/>
  <c r="P63" i="51"/>
  <c r="P52" i="51"/>
  <c r="P54" i="51" s="1"/>
  <c r="P64" i="51" s="1"/>
  <c r="I45" i="10" l="1"/>
  <c r="P48" i="48"/>
  <c r="P15" i="47"/>
  <c r="P20" i="47" s="1"/>
  <c r="P40" i="47" s="1"/>
  <c r="P45" i="47" s="1"/>
  <c r="J20" i="10"/>
  <c r="J39" i="10" s="1"/>
  <c r="I22" i="8"/>
  <c r="I52" i="9"/>
  <c r="I71" i="9" s="1"/>
  <c r="J709" i="11"/>
  <c r="J8" i="29"/>
  <c r="I44" i="12"/>
  <c r="I46" i="12" s="1"/>
  <c r="L67" i="62"/>
  <c r="K51" i="16"/>
  <c r="N28" i="48"/>
  <c r="N48" i="48" s="1"/>
  <c r="O48" i="48"/>
  <c r="F131" i="29"/>
  <c r="F88" i="29"/>
  <c r="F132" i="29" s="1"/>
  <c r="H131" i="29"/>
  <c r="H88" i="29"/>
  <c r="H132" i="29" s="1"/>
  <c r="Q9" i="46"/>
  <c r="Q22" i="46" s="1"/>
  <c r="Q38" i="46" s="1"/>
  <c r="Q42" i="46" s="1"/>
  <c r="Q46" i="46" s="1"/>
  <c r="M48" i="29"/>
  <c r="L38" i="27"/>
  <c r="M76" i="62"/>
  <c r="M71" i="62" s="1"/>
  <c r="K6" i="7"/>
  <c r="M54" i="29"/>
  <c r="M10" i="29" s="1"/>
  <c r="L22" i="12"/>
  <c r="L18" i="27"/>
  <c r="L38" i="16"/>
  <c r="K42" i="7"/>
  <c r="N15" i="47"/>
  <c r="N20" i="47" s="1"/>
  <c r="N40" i="47" s="1"/>
  <c r="N45" i="47" s="1"/>
  <c r="O20" i="47"/>
  <c r="O40" i="47" s="1"/>
  <c r="O45" i="47" s="1"/>
  <c r="Q15" i="47"/>
  <c r="Q20" i="47" s="1"/>
  <c r="Q40" i="47" s="1"/>
  <c r="Q45" i="47" s="1"/>
  <c r="K20" i="10"/>
  <c r="K39" i="10" s="1"/>
  <c r="Q38" i="48"/>
  <c r="Q48" i="48" s="1"/>
  <c r="K48" i="8"/>
  <c r="K58" i="8" s="1"/>
  <c r="I131" i="29"/>
  <c r="I88" i="29"/>
  <c r="I132" i="29" s="1"/>
  <c r="E8" i="29"/>
  <c r="D44" i="12"/>
  <c r="D46" i="12" s="1"/>
  <c r="K9" i="62"/>
  <c r="K8" i="62" s="1"/>
  <c r="K72" i="62"/>
  <c r="K13" i="62" s="1"/>
  <c r="J19" i="27"/>
  <c r="J32" i="27"/>
  <c r="J37" i="27"/>
  <c r="J60" i="12"/>
  <c r="J35" i="27"/>
  <c r="J38" i="12"/>
  <c r="J42" i="12" s="1"/>
  <c r="J8" i="27"/>
  <c r="J34" i="27"/>
  <c r="J33" i="27"/>
  <c r="K94" i="29"/>
  <c r="I10" i="7"/>
  <c r="K40" i="29"/>
  <c r="K43" i="29"/>
  <c r="K11" i="29" s="1"/>
  <c r="K103" i="29" s="1"/>
  <c r="K44" i="29"/>
  <c r="K36" i="29" s="1"/>
  <c r="K9" i="29" s="1"/>
  <c r="J22" i="8"/>
  <c r="J52" i="9"/>
  <c r="J71" i="9" s="1"/>
  <c r="J39" i="27"/>
  <c r="K7" i="29" s="1"/>
  <c r="K117" i="29" s="1"/>
  <c r="K89" i="29"/>
  <c r="K5" i="29"/>
  <c r="I45" i="7"/>
  <c r="J5" i="17"/>
  <c r="K39" i="16"/>
  <c r="K40" i="16" s="1"/>
  <c r="J23" i="27"/>
  <c r="I8" i="29"/>
  <c r="H44" i="12"/>
  <c r="H46" i="12" s="1"/>
  <c r="E131" i="29"/>
  <c r="E88" i="29"/>
  <c r="E132" i="29" s="1"/>
  <c r="D8" i="29"/>
  <c r="C44" i="12"/>
  <c r="C46" i="12" s="1"/>
  <c r="L48" i="29"/>
  <c r="P9" i="46"/>
  <c r="P22" i="46" s="1"/>
  <c r="P38" i="46" s="1"/>
  <c r="P42" i="46" s="1"/>
  <c r="P46" i="46" s="1"/>
  <c r="L54" i="29"/>
  <c r="L10" i="29" s="1"/>
  <c r="L76" i="62"/>
  <c r="L71" i="62" s="1"/>
  <c r="K38" i="27"/>
  <c r="K22" i="12"/>
  <c r="L17" i="27"/>
  <c r="K18" i="27"/>
  <c r="J6" i="7"/>
  <c r="M80" i="62"/>
  <c r="L47" i="16"/>
  <c r="L50" i="16" s="1"/>
  <c r="K22" i="8"/>
  <c r="K52" i="9"/>
  <c r="K71" i="9" s="1"/>
  <c r="J131" i="29"/>
  <c r="J88" i="29"/>
  <c r="J132" i="29" s="1"/>
  <c r="D59" i="62"/>
  <c r="D66" i="62" s="1"/>
  <c r="D68" i="62" s="1"/>
  <c r="D77" i="62"/>
  <c r="E44" i="12"/>
  <c r="E46" i="12" s="1"/>
  <c r="F8" i="29"/>
  <c r="D131" i="29"/>
  <c r="D88" i="29"/>
  <c r="D132" i="29" s="1"/>
  <c r="H8" i="29"/>
  <c r="G44" i="12"/>
  <c r="G46" i="12" s="1"/>
  <c r="K116" i="29"/>
  <c r="J36" i="17"/>
  <c r="J29" i="17" s="1"/>
  <c r="J32" i="17" s="1"/>
  <c r="J14" i="17" s="1"/>
  <c r="J18" i="17" s="1"/>
  <c r="I49" i="7" s="1"/>
  <c r="N9" i="46"/>
  <c r="N22" i="46" s="1"/>
  <c r="N38" i="46" s="1"/>
  <c r="N42" i="46" s="1"/>
  <c r="N46" i="46" s="1"/>
  <c r="O22" i="46"/>
  <c r="O38" i="46" s="1"/>
  <c r="O42" i="46" s="1"/>
  <c r="O46" i="46" s="1"/>
  <c r="P56" i="51"/>
  <c r="K23" i="27" l="1"/>
  <c r="J45" i="7"/>
  <c r="L39" i="16"/>
  <c r="L40" i="16" s="1"/>
  <c r="K5" i="17"/>
  <c r="K39" i="27"/>
  <c r="L7" i="29" s="1"/>
  <c r="L117" i="29" s="1"/>
  <c r="L5" i="29"/>
  <c r="E57" i="22"/>
  <c r="E62" i="22" s="1"/>
  <c r="E70" i="22" s="1"/>
  <c r="E81" i="22" s="1"/>
  <c r="E48" i="12"/>
  <c r="E58" i="12"/>
  <c r="Q22" i="48"/>
  <c r="K19" i="8"/>
  <c r="J10" i="7"/>
  <c r="L94" i="29"/>
  <c r="L116" i="29"/>
  <c r="K36" i="17"/>
  <c r="K29" i="17" s="1"/>
  <c r="K32" i="17" s="1"/>
  <c r="K14" i="17" s="1"/>
  <c r="K18" i="17" s="1"/>
  <c r="J49" i="7" s="1"/>
  <c r="L40" i="29"/>
  <c r="L44" i="29"/>
  <c r="L36" i="29" s="1"/>
  <c r="L9" i="29" s="1"/>
  <c r="L43" i="29"/>
  <c r="L11" i="29" s="1"/>
  <c r="L103" i="29" s="1"/>
  <c r="J141" i="9"/>
  <c r="K8" i="29"/>
  <c r="R45" i="21"/>
  <c r="J44" i="12"/>
  <c r="J46" i="12" s="1"/>
  <c r="K26" i="23"/>
  <c r="I715" i="11"/>
  <c r="K31" i="62"/>
  <c r="K15" i="62"/>
  <c r="K14" i="62" s="1"/>
  <c r="K11" i="62" s="1"/>
  <c r="M67" i="62"/>
  <c r="L51" i="16"/>
  <c r="L8" i="27"/>
  <c r="L60" i="12"/>
  <c r="L19" i="27"/>
  <c r="L37" i="27"/>
  <c r="L38" i="12"/>
  <c r="L42" i="12" s="1"/>
  <c r="L35" i="27"/>
  <c r="L32" i="27"/>
  <c r="L34" i="27"/>
  <c r="L33" i="27"/>
  <c r="K10" i="7"/>
  <c r="M94" i="29"/>
  <c r="I57" i="22"/>
  <c r="I62" i="22" s="1"/>
  <c r="I70" i="22" s="1"/>
  <c r="I81" i="22" s="1"/>
  <c r="I48" i="12"/>
  <c r="I149" i="9"/>
  <c r="I141" i="9"/>
  <c r="J45" i="10"/>
  <c r="G57" i="22"/>
  <c r="G62" i="22" s="1"/>
  <c r="G70" i="22" s="1"/>
  <c r="G81" i="22" s="1"/>
  <c r="G48" i="12"/>
  <c r="G58" i="12"/>
  <c r="K141" i="9"/>
  <c r="K19" i="27"/>
  <c r="K60" i="12"/>
  <c r="K8" i="27"/>
  <c r="K38" i="12"/>
  <c r="K42" i="12" s="1"/>
  <c r="K35" i="27"/>
  <c r="K32" i="27"/>
  <c r="K37" i="27"/>
  <c r="K33" i="27"/>
  <c r="K34" i="27"/>
  <c r="L72" i="62"/>
  <c r="L13" i="62" s="1"/>
  <c r="L9" i="62"/>
  <c r="L8" i="62" s="1"/>
  <c r="C57" i="22"/>
  <c r="C62" i="22" s="1"/>
  <c r="C70" i="22" s="1"/>
  <c r="C81" i="22" s="1"/>
  <c r="C48" i="12"/>
  <c r="C58" i="12"/>
  <c r="H57" i="22"/>
  <c r="H62" i="22" s="1"/>
  <c r="H70" i="22" s="1"/>
  <c r="H81" i="22" s="1"/>
  <c r="H48" i="12"/>
  <c r="H58" i="12"/>
  <c r="J6" i="17"/>
  <c r="J8" i="17" s="1"/>
  <c r="P22" i="48"/>
  <c r="J19" i="8"/>
  <c r="K91" i="29"/>
  <c r="K86" i="29"/>
  <c r="K127" i="29"/>
  <c r="I19" i="7"/>
  <c r="I22" i="7" s="1"/>
  <c r="I24" i="7" s="1"/>
  <c r="K78" i="62"/>
  <c r="D57" i="22"/>
  <c r="D62" i="22" s="1"/>
  <c r="D70" i="22" s="1"/>
  <c r="D81" i="22" s="1"/>
  <c r="D48" i="12"/>
  <c r="D58" i="12"/>
  <c r="K45" i="10"/>
  <c r="L36" i="17"/>
  <c r="L29" i="17" s="1"/>
  <c r="L32" i="17" s="1"/>
  <c r="L14" i="17" s="1"/>
  <c r="L18" i="17" s="1"/>
  <c r="K49" i="7" s="1"/>
  <c r="M116" i="29"/>
  <c r="M9" i="62"/>
  <c r="M8" i="62" s="1"/>
  <c r="M72" i="62"/>
  <c r="M13" i="62" s="1"/>
  <c r="M40" i="29"/>
  <c r="M44" i="29"/>
  <c r="M36" i="29" s="1"/>
  <c r="M9" i="29" s="1"/>
  <c r="M43" i="29"/>
  <c r="M11" i="29" s="1"/>
  <c r="M103" i="29" s="1"/>
  <c r="O22" i="48"/>
  <c r="N22" i="48" s="1"/>
  <c r="I19" i="8"/>
  <c r="L78" i="62" l="1"/>
  <c r="I48" i="7"/>
  <c r="I50" i="7" s="1"/>
  <c r="J19" i="17"/>
  <c r="K6" i="29"/>
  <c r="O19" i="48"/>
  <c r="I25" i="8"/>
  <c r="M31" i="62"/>
  <c r="M15" i="62"/>
  <c r="M14" i="62" s="1"/>
  <c r="K88" i="29"/>
  <c r="K132" i="29" s="1"/>
  <c r="K130" i="29"/>
  <c r="P19" i="48"/>
  <c r="P25" i="48" s="1"/>
  <c r="P50" i="48" s="1"/>
  <c r="P53" i="48" s="1"/>
  <c r="J25" i="8"/>
  <c r="M86" i="29"/>
  <c r="M127" i="29"/>
  <c r="M91" i="29"/>
  <c r="K19" i="7"/>
  <c r="K22" i="7" s="1"/>
  <c r="K24" i="7" s="1"/>
  <c r="M26" i="23"/>
  <c r="K715" i="11"/>
  <c r="L127" i="29"/>
  <c r="L91" i="29"/>
  <c r="L86" i="29"/>
  <c r="J19" i="7"/>
  <c r="J22" i="7" s="1"/>
  <c r="J24" i="7" s="1"/>
  <c r="K6" i="17"/>
  <c r="K8" i="17" s="1"/>
  <c r="M11" i="62"/>
  <c r="M78" i="62"/>
  <c r="L15" i="62"/>
  <c r="L14" i="62" s="1"/>
  <c r="L11" i="62" s="1"/>
  <c r="L31" i="62"/>
  <c r="L8" i="29"/>
  <c r="K44" i="12"/>
  <c r="K46" i="12" s="1"/>
  <c r="L26" i="23"/>
  <c r="J715" i="11"/>
  <c r="K149" i="9"/>
  <c r="L44" i="12"/>
  <c r="L46" i="12" s="1"/>
  <c r="M8" i="29"/>
  <c r="L5" i="17"/>
  <c r="K45" i="7"/>
  <c r="L39" i="27"/>
  <c r="M7" i="29" s="1"/>
  <c r="M117" i="29" s="1"/>
  <c r="L23" i="27"/>
  <c r="M5" i="29"/>
  <c r="K59" i="62"/>
  <c r="K66" i="62" s="1"/>
  <c r="K68" i="62" s="1"/>
  <c r="K77" i="62"/>
  <c r="J58" i="12"/>
  <c r="J57" i="22"/>
  <c r="J62" i="22" s="1"/>
  <c r="J70" i="22" s="1"/>
  <c r="J81" i="22" s="1"/>
  <c r="J48" i="12"/>
  <c r="J149" i="9"/>
  <c r="Q19" i="48"/>
  <c r="Q25" i="48" s="1"/>
  <c r="Q50" i="48" s="1"/>
  <c r="Q53" i="48" s="1"/>
  <c r="K25" i="8"/>
  <c r="J48" i="7" l="1"/>
  <c r="J50" i="7" s="1"/>
  <c r="L6" i="29"/>
  <c r="K19" i="17"/>
  <c r="K57" i="8"/>
  <c r="K49" i="8"/>
  <c r="L6" i="17"/>
  <c r="L8" i="17" s="1"/>
  <c r="L58" i="12"/>
  <c r="L48" i="12"/>
  <c r="Q56" i="48" s="1"/>
  <c r="L57" i="22"/>
  <c r="L62" i="22" s="1"/>
  <c r="L70" i="22" s="1"/>
  <c r="L81" i="22" s="1"/>
  <c r="K57" i="22"/>
  <c r="K62" i="22" s="1"/>
  <c r="K70" i="22" s="1"/>
  <c r="K81" i="22" s="1"/>
  <c r="K48" i="12"/>
  <c r="P56" i="48" s="1"/>
  <c r="K58" i="12"/>
  <c r="L88" i="29"/>
  <c r="L132" i="29" s="1"/>
  <c r="L130" i="29"/>
  <c r="M130" i="29"/>
  <c r="M88" i="29"/>
  <c r="M132" i="29" s="1"/>
  <c r="M59" i="62"/>
  <c r="M66" i="62" s="1"/>
  <c r="M68" i="62" s="1"/>
  <c r="M77" i="62"/>
  <c r="N19" i="48"/>
  <c r="N25" i="48" s="1"/>
  <c r="N50" i="48" s="1"/>
  <c r="N53" i="48" s="1"/>
  <c r="O25" i="48"/>
  <c r="O50" i="48" s="1"/>
  <c r="O53" i="48" s="1"/>
  <c r="O56" i="48" s="1"/>
  <c r="K124" i="29"/>
  <c r="K133" i="29"/>
  <c r="K134" i="29" s="1"/>
  <c r="K135" i="29" s="1"/>
  <c r="O49" i="46"/>
  <c r="O48" i="47"/>
  <c r="L59" i="62"/>
  <c r="L66" i="62" s="1"/>
  <c r="L68" i="62" s="1"/>
  <c r="L77" i="62"/>
  <c r="J49" i="8"/>
  <c r="J57" i="8"/>
  <c r="I57" i="8"/>
  <c r="I49" i="8"/>
  <c r="P48" i="47" l="1"/>
  <c r="P49" i="46"/>
  <c r="L19" i="17"/>
  <c r="K48" i="7"/>
  <c r="K50" i="7" s="1"/>
  <c r="M6" i="29"/>
  <c r="Q48" i="47"/>
  <c r="Q49" i="46"/>
  <c r="L133" i="29"/>
  <c r="L134" i="29" s="1"/>
  <c r="L135" i="29" s="1"/>
  <c r="L124" i="29"/>
  <c r="M133" i="29" l="1"/>
  <c r="M134" i="29" s="1"/>
  <c r="M135" i="29" s="1"/>
  <c r="M124" i="29"/>
</calcChain>
</file>

<file path=xl/sharedStrings.xml><?xml version="1.0" encoding="utf-8"?>
<sst xmlns="http://schemas.openxmlformats.org/spreadsheetml/2006/main" count="5541" uniqueCount="2952">
  <si>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</si>
  <si>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</si>
  <si>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</si>
  <si>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</si>
  <si>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</si>
  <si>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</si>
  <si>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</si>
  <si>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</si>
  <si>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</si>
  <si>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</si>
  <si>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</si>
  <si>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</si>
  <si>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</si>
  <si>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</si>
  <si>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</si>
  <si>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</si>
  <si>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</si>
  <si>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</si>
  <si>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</si>
  <si>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</si>
  <si>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</si>
  <si>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</si>
  <si>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</si>
  <si>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</si>
  <si>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</si>
  <si>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</si>
  <si>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</si>
  <si>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</si>
  <si>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</si>
  <si>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</si>
  <si>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</si>
  <si>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</si>
  <si>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</si>
  <si>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</si>
  <si>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</si>
  <si>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</si>
  <si>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</si>
  <si>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</si>
  <si>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</si>
  <si>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</si>
  <si>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</si>
  <si>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</si>
  <si>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</si>
  <si>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</si>
  <si>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</si>
  <si>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</si>
  <si>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</si>
  <si>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</si>
  <si>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</si>
  <si>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</si>
  <si>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</si>
  <si>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</si>
  <si>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</si>
  <si>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</si>
  <si>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</si>
  <si>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</si>
  <si>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</si>
  <si>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</si>
  <si>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</si>
  <si>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</si>
  <si>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</si>
  <si>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</si>
  <si>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</si>
  <si>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</si>
  <si>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</si>
  <si>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</si>
  <si>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</si>
  <si>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</si>
  <si>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</si>
  <si>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</si>
  <si>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</si>
  <si>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</si>
  <si>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</si>
  <si>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</si>
  <si>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</si>
  <si>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</si>
  <si>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</si>
  <si>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</si>
  <si>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</si>
  <si>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</si>
  <si>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</si>
  <si>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</si>
  <si>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</si>
  <si>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</si>
  <si>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</si>
  <si>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</si>
  <si>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</si>
  <si>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</si>
  <si>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</si>
  <si>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</si>
  <si>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</si>
  <si>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</si>
  <si>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</si>
  <si>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</si>
  <si>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</si>
  <si>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</si>
  <si>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</si>
  <si>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</si>
  <si>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</si>
  <si>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</si>
  <si>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</si>
  <si>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</si>
  <si>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</si>
  <si>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</si>
  <si>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</si>
  <si>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</si>
  <si>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</si>
  <si>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</si>
  <si>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</si>
  <si>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</si>
  <si>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</si>
  <si>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</si>
  <si>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</si>
  <si>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</si>
  <si>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</si>
  <si>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</si>
  <si>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</si>
  <si>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</si>
  <si>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</si>
  <si>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</si>
  <si>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</si>
  <si>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</si>
  <si>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</si>
  <si>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</si>
  <si>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</si>
  <si>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</si>
  <si>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</si>
  <si>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</si>
  <si>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</si>
  <si>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</si>
  <si>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</si>
  <si>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</si>
  <si>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</si>
  <si>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</si>
  <si>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</si>
  <si>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</si>
  <si>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</si>
  <si>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</si>
  <si>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</si>
  <si>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</si>
  <si>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</si>
  <si>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</si>
  <si>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</si>
  <si>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</si>
  <si>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</si>
  <si>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</si>
  <si>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</si>
  <si>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</si>
  <si>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</si>
  <si>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</si>
  <si>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</si>
  <si>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</si>
  <si>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</si>
  <si>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</si>
  <si>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</si>
  <si>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</si>
  <si>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</si>
  <si>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</si>
  <si>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</si>
  <si>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</si>
  <si>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</si>
  <si>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</si>
  <si>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</si>
  <si>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</si>
  <si>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</si>
  <si>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</si>
  <si>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</si>
  <si>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</si>
  <si>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</si>
  <si>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</si>
  <si>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</si>
  <si>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</si>
  <si>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</si>
  <si>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</si>
  <si>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</si>
  <si>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</si>
  <si>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</si>
  <si>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</si>
  <si>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</si>
  <si>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</si>
  <si>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</si>
  <si>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</si>
  <si>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</si>
  <si>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</si>
  <si>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</si>
  <si>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</si>
  <si>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</si>
  <si>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</si>
  <si>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</si>
  <si>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</si>
  <si>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</si>
  <si>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</si>
  <si>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</si>
  <si>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</si>
  <si>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</si>
  <si>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</si>
  <si>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</si>
  <si>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</si>
  <si>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</si>
  <si>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</si>
  <si>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</si>
  <si>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</si>
  <si>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</si>
  <si>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</si>
  <si>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</si>
  <si>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</si>
  <si>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</si>
  <si>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</si>
  <si>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</si>
  <si>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</si>
  <si>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</si>
  <si>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</si>
  <si>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</si>
  <si>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</si>
  <si>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</si>
  <si>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</si>
  <si>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</si>
  <si>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</si>
  <si>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</si>
  <si>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</si>
  <si>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</si>
  <si>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</si>
  <si>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</si>
  <si>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</si>
  <si>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</si>
  <si>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</si>
  <si>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</si>
  <si>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</si>
  <si>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</si>
  <si>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</si>
  <si>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</si>
  <si>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</si>
  <si>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</si>
  <si>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</si>
  <si>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</si>
  <si>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</si>
  <si>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</si>
  <si>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</si>
  <si>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</si>
  <si>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</si>
  <si>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</si>
  <si>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</si>
  <si>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</si>
  <si>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</si>
  <si>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</si>
  <si>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</si>
  <si>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</si>
  <si>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</si>
  <si>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</si>
  <si>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</si>
  <si>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</si>
  <si>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</si>
  <si>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</si>
  <si>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</si>
  <si>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</si>
  <si>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</si>
  <si>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</si>
  <si>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</si>
  <si>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</si>
  <si>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</si>
  <si>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</si>
  <si>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</si>
  <si>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</si>
  <si>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</si>
  <si>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</si>
  <si>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</si>
  <si>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</si>
  <si>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</si>
  <si>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</si>
  <si>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</si>
  <si>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</si>
  <si>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</si>
  <si>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</si>
  <si>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</si>
  <si>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</si>
  <si>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</si>
  <si>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</si>
  <si>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</si>
  <si>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</si>
  <si>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</si>
  <si>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</si>
  <si>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</si>
  <si>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</si>
  <si>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</si>
  <si>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</si>
  <si>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</si>
  <si>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</si>
  <si>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</si>
  <si>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</si>
  <si>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</si>
  <si>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</si>
  <si>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</si>
  <si>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</si>
  <si>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</si>
  <si>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</si>
  <si>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</si>
  <si>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</si>
  <si>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</si>
  <si>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</si>
  <si>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</si>
  <si>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</si>
  <si>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</si>
  <si>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</si>
  <si>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</si>
  <si>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</si>
  <si>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</si>
  <si>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</si>
  <si>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</si>
  <si>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</si>
  <si>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</si>
  <si>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</si>
  <si>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</si>
  <si>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</si>
  <si>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</si>
  <si>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</si>
  <si>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</si>
  <si>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</si>
  <si>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</si>
  <si>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</si>
  <si>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</si>
  <si>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</si>
  <si>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</si>
  <si>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</si>
  <si>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</si>
  <si>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</si>
  <si>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</si>
  <si>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</si>
  <si>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</si>
  <si>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</si>
  <si>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</si>
  <si>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</si>
  <si>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</si>
  <si>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</si>
  <si>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</si>
  <si>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</si>
  <si>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</si>
  <si>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</si>
  <si>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</si>
  <si>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</si>
  <si>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</si>
  <si>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</si>
  <si>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</si>
  <si>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</si>
  <si>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</si>
  <si>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</si>
  <si>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</si>
  <si>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</si>
  <si>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</si>
  <si>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</si>
  <si>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</si>
  <si>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</si>
  <si>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</si>
  <si>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</si>
  <si>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</si>
  <si>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</si>
  <si>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</si>
  <si>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</si>
  <si>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</si>
  <si>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</si>
  <si>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</si>
  <si>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</si>
  <si>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</si>
  <si>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</si>
  <si>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</si>
  <si>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</si>
  <si>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</si>
  <si>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</si>
  <si>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</si>
  <si>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</si>
  <si>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</si>
  <si>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</si>
  <si>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</si>
  <si>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</si>
  <si>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</si>
  <si>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</si>
  <si>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</si>
  <si>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</si>
  <si>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</si>
  <si>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</si>
  <si>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</si>
  <si>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</si>
  <si>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</si>
  <si>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</si>
  <si>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</si>
  <si>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</si>
  <si>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</si>
  <si>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</si>
  <si>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</si>
  <si>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</si>
  <si>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</si>
  <si>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</si>
  <si>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</si>
  <si>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</si>
  <si>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</si>
  <si>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</si>
  <si>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</si>
  <si>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</si>
  <si>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</si>
  <si>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</si>
  <si>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</si>
  <si>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</si>
  <si>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</si>
  <si>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</si>
  <si>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</si>
  <si>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</si>
  <si>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</si>
  <si>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</si>
  <si>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</si>
  <si>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</si>
  <si>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</si>
  <si>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</si>
  <si>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</si>
  <si>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</si>
  <si>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</si>
  <si>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</si>
  <si>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</si>
  <si>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</si>
  <si>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</si>
  <si>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</si>
  <si>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</si>
  <si>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</si>
  <si>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</si>
  <si>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</si>
  <si>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</si>
  <si>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</si>
  <si>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</si>
  <si>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</si>
  <si>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</si>
  <si>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</si>
  <si>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</si>
  <si>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</si>
  <si>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</si>
  <si>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</si>
  <si>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</si>
  <si>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</si>
  <si>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</si>
  <si>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</si>
  <si>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</si>
  <si>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</si>
  <si>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</si>
  <si>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</si>
  <si>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</si>
  <si>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</si>
  <si>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</si>
  <si>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</si>
  <si>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</si>
  <si>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</si>
  <si>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</si>
  <si>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</si>
  <si>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</si>
  <si>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</si>
  <si>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</si>
  <si>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</si>
  <si>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</si>
  <si>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</si>
  <si>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</si>
  <si>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</si>
  <si>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</si>
  <si>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</si>
  <si>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</si>
  <si>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</si>
  <si>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</si>
  <si>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</si>
  <si>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</si>
  <si>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</si>
  <si>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</si>
  <si>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</si>
  <si>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</si>
  <si>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</si>
  <si>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</si>
  <si>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</si>
  <si>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</si>
  <si>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</si>
  <si>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</si>
  <si>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</si>
  <si>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</si>
  <si>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</si>
  <si>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</si>
  <si>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</si>
  <si>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</si>
  <si>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</si>
  <si>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</si>
  <si>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</si>
  <si>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</si>
  <si>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</si>
  <si>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</si>
  <si>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</si>
  <si>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</si>
  <si>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</si>
  <si>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</si>
  <si>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</si>
  <si>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</si>
  <si>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</si>
  <si>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</si>
  <si>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</si>
  <si>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</si>
  <si>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</si>
  <si>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</si>
  <si>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</si>
  <si>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</si>
  <si>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</si>
  <si>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</si>
  <si>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</si>
  <si>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</si>
  <si>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</si>
  <si>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</si>
  <si>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</si>
  <si>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</si>
  <si>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</si>
  <si>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</si>
  <si>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</si>
  <si>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</si>
  <si>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</si>
  <si>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</si>
  <si>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</si>
  <si>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</si>
  <si>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</si>
  <si>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</si>
  <si>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</si>
  <si>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</si>
  <si>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</si>
  <si>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</si>
  <si>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</si>
  <si>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</si>
  <si>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</si>
  <si>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</si>
  <si>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</si>
  <si>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</si>
  <si>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</si>
  <si>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</si>
  <si>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</si>
  <si>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</si>
  <si>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</si>
  <si>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</si>
  <si>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</si>
  <si>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</si>
  <si>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</si>
  <si>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</si>
  <si>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</si>
  <si>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</si>
  <si>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</si>
  <si>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</si>
  <si>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</si>
  <si>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</si>
  <si>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</si>
  <si>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</si>
  <si>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</si>
  <si>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</si>
  <si>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</si>
  <si>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</si>
  <si>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</si>
  <si>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</si>
  <si>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</si>
  <si>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</si>
  <si>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</si>
  <si>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</si>
  <si>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</si>
  <si>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</si>
  <si>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</si>
  <si>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</si>
  <si>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</si>
  <si>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</si>
  <si>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</si>
  <si>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</si>
  <si>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</si>
  <si>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</si>
  <si>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</si>
  <si>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</si>
  <si>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</si>
  <si>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</si>
  <si>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</si>
  <si>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</si>
  <si>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</si>
  <si>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</si>
  <si>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</si>
  <si>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</si>
  <si>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</si>
  <si>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</si>
  <si>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</si>
  <si>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</si>
  <si>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</si>
  <si>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</si>
  <si>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</si>
  <si>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</si>
  <si>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</si>
  <si>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</si>
  <si>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</si>
  <si>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</si>
  <si>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</si>
  <si>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</si>
  <si>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</si>
  <si>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</si>
  <si>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</si>
  <si>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</si>
  <si>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</si>
  <si>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</si>
  <si>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</si>
  <si>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</si>
  <si>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</si>
  <si>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</si>
  <si>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</si>
  <si>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</si>
  <si>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</si>
  <si>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</si>
  <si>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</si>
  <si>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</si>
  <si>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</si>
  <si>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</si>
  <si>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</si>
  <si>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</si>
  <si>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</si>
  <si>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</si>
  <si>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</si>
  <si>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</si>
  <si>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</si>
  <si>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</si>
  <si>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</si>
  <si>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</si>
  <si>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</si>
  <si>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</si>
  <si>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</si>
  <si>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</si>
  <si>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</si>
  <si>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</si>
  <si>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 xml:space="preserve">Town Planning/Building enforcement </t>
  </si>
  <si>
    <t>Tourism</t>
  </si>
  <si>
    <t>Ambulance</t>
  </si>
  <si>
    <t xml:space="preserve">Other   </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</si>
  <si>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</si>
  <si>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</si>
  <si>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</si>
  <si>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</si>
  <si>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</si>
  <si>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</si>
  <si>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</si>
  <si>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</si>
  <si>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</si>
  <si>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</si>
  <si>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</si>
  <si>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</si>
  <si>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</si>
  <si>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</si>
  <si>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</si>
  <si>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</si>
  <si>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</si>
  <si>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</si>
  <si>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</si>
  <si>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</si>
  <si>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</si>
  <si>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</si>
  <si>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</si>
  <si>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</si>
  <si>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</si>
  <si>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</si>
  <si>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</si>
  <si>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</si>
  <si>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</si>
  <si>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</si>
  <si>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</si>
  <si>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</si>
  <si>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</si>
  <si>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</si>
  <si>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</si>
  <si>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</si>
  <si>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</si>
  <si>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</si>
  <si>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</si>
  <si>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</si>
  <si>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</si>
  <si>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</si>
  <si>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</si>
  <si>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</si>
  <si>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</si>
  <si>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</si>
  <si>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</si>
  <si>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</si>
  <si>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</si>
  <si>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</si>
  <si>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</si>
  <si>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</si>
  <si>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</si>
  <si>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</si>
  <si>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</si>
  <si>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</si>
  <si>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</si>
  <si>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</si>
  <si>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</si>
  <si>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</si>
  <si>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</si>
  <si>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</si>
  <si>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</si>
  <si>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</si>
  <si>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</si>
  <si>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</si>
  <si>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</si>
  <si>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</si>
  <si>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</si>
  <si>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</si>
  <si>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</si>
  <si>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</si>
  <si>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</si>
  <si>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</si>
  <si>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</si>
  <si>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</si>
  <si>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</si>
  <si>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</si>
  <si>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</si>
  <si>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</si>
  <si>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</si>
  <si>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</si>
  <si>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</si>
  <si>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</si>
  <si>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</si>
  <si>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</si>
  <si>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</si>
  <si>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</si>
  <si>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</si>
  <si>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</si>
  <si>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</si>
  <si>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</si>
  <si>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</si>
  <si>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</si>
  <si>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</si>
  <si>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</si>
  <si>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</si>
  <si>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</si>
  <si>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</si>
  <si>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</si>
  <si>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</si>
  <si>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</si>
  <si>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</si>
  <si>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</si>
  <si>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</si>
  <si>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</si>
  <si>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</si>
  <si>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</si>
  <si>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</si>
  <si>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</si>
  <si>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</si>
  <si>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</si>
  <si>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</si>
  <si>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</si>
  <si>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</si>
  <si>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</si>
  <si>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</si>
  <si>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</si>
  <si>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</si>
  <si>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</si>
  <si>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</si>
  <si>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</si>
  <si>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</si>
  <si>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</si>
  <si>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</si>
  <si>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</si>
  <si>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</si>
  <si>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</si>
  <si>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</si>
  <si>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</si>
  <si>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</si>
  <si>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</si>
  <si>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</si>
  <si>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</si>
  <si>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</si>
  <si>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</si>
  <si>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</si>
  <si>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</si>
  <si>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</si>
  <si>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</si>
  <si>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</si>
  <si>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</si>
  <si>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</si>
  <si>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</si>
  <si>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</si>
  <si>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</si>
  <si>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</si>
  <si>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</si>
  <si>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</si>
  <si>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</si>
  <si>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</si>
  <si>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</si>
  <si>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</si>
  <si>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</si>
  <si>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</si>
  <si>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</si>
  <si>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</si>
  <si>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</si>
  <si>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</si>
  <si>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</si>
  <si>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</si>
  <si>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</si>
  <si>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</si>
  <si>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</si>
  <si>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</si>
  <si>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</si>
  <si>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</si>
  <si>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</si>
  <si>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</si>
  <si>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</si>
  <si>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</si>
  <si>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</si>
  <si>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</si>
  <si>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</si>
  <si>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</si>
  <si>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</si>
  <si>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</si>
  <si>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</si>
  <si>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</si>
  <si>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</si>
  <si>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</si>
  <si>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</si>
  <si>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</si>
  <si>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</si>
  <si>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</si>
  <si>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</si>
  <si>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</si>
  <si>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</si>
  <si>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</si>
  <si>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</si>
  <si>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</si>
  <si>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</si>
  <si>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</si>
  <si>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</si>
  <si>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</si>
  <si>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</si>
  <si>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</si>
  <si>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</si>
  <si>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</si>
  <si>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</si>
  <si>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</si>
  <si>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</si>
  <si>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</si>
  <si>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</si>
  <si>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</si>
  <si>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</si>
  <si>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</si>
  <si>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</si>
  <si>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</si>
  <si>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</si>
  <si>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</si>
  <si>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</si>
  <si>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</si>
  <si>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</si>
  <si>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</si>
  <si>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</si>
  <si>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</si>
  <si>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</si>
  <si>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</si>
  <si>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</si>
  <si>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</si>
  <si>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</si>
  <si>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</si>
  <si>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</si>
  <si>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</si>
  <si>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</si>
  <si>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</si>
  <si>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</si>
  <si>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</si>
  <si>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</si>
  <si>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</si>
  <si>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</si>
  <si>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</si>
  <si>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</si>
  <si>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</si>
  <si>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</si>
  <si>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</si>
  <si>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</si>
  <si>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</si>
  <si>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</si>
  <si>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</si>
  <si>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</si>
  <si>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</si>
  <si>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</si>
  <si>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</si>
  <si>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</si>
  <si>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</si>
  <si>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</si>
  <si>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</si>
  <si>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</si>
  <si>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</si>
  <si>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</si>
  <si>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</si>
  <si>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</si>
  <si>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</si>
  <si>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</si>
  <si>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</si>
  <si>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</si>
  <si>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</si>
  <si>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</si>
  <si>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</si>
  <si>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</si>
  <si>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</si>
  <si>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</si>
  <si>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</si>
  <si>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</si>
  <si>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</si>
  <si>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</si>
  <si>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</si>
  <si>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</si>
  <si>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</si>
  <si>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</si>
  <si>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</si>
  <si>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</si>
  <si>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</si>
  <si>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</si>
  <si>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</si>
  <si>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</si>
  <si>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</si>
  <si>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</si>
  <si>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</si>
  <si>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</si>
  <si>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</si>
  <si>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</si>
  <si>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</si>
  <si>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</si>
  <si>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</si>
  <si>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</si>
  <si>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</si>
  <si>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</si>
  <si>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</si>
  <si>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</si>
  <si>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</si>
  <si>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</si>
  <si>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</si>
  <si>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</si>
  <si>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</si>
  <si>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</si>
  <si>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</si>
  <si>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</si>
  <si>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</si>
  <si>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</si>
  <si>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</si>
  <si>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</si>
  <si>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</si>
  <si>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</si>
  <si>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</si>
  <si>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</si>
  <si>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</si>
  <si>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</si>
  <si>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</si>
  <si>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</si>
  <si>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</si>
  <si>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</si>
  <si>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</si>
  <si>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</si>
  <si>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</si>
  <si>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</si>
  <si>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</si>
  <si>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</si>
  <si>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</si>
  <si>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</si>
  <si>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</si>
  <si>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</si>
  <si>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</si>
  <si>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</si>
  <si>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</si>
  <si>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</si>
  <si>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</si>
  <si>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</si>
  <si>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</si>
  <si>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</si>
  <si>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</si>
  <si>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</si>
  <si>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</si>
  <si>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</si>
  <si>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</si>
  <si>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</si>
  <si>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</si>
  <si>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</si>
  <si>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</si>
  <si>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</si>
  <si>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</si>
  <si>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</si>
  <si>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</si>
  <si>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</si>
  <si>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</si>
  <si>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</si>
  <si>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</si>
  <si>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</si>
  <si>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</si>
  <si>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</si>
  <si>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</si>
  <si>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</si>
  <si>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</si>
  <si>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</si>
  <si>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</si>
  <si>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</si>
  <si>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</si>
  <si>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</si>
  <si>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</si>
  <si>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</si>
  <si>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</si>
  <si>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</si>
  <si>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</si>
  <si>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</si>
  <si>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</si>
  <si>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</si>
  <si>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</si>
  <si>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</si>
  <si>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</si>
  <si>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</si>
  <si>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</si>
  <si>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</si>
  <si>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</si>
  <si>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</si>
  <si>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</si>
  <si>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</si>
  <si>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</si>
  <si>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</si>
  <si>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</si>
  <si>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</si>
  <si>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</si>
  <si>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</si>
  <si>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</si>
  <si>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</si>
  <si>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</si>
  <si>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</si>
  <si>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</si>
  <si>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</si>
  <si>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</si>
  <si>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</si>
  <si>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</si>
  <si>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</si>
  <si>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</si>
  <si>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</si>
  <si>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</si>
  <si>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</si>
  <si>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</si>
  <si>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</si>
  <si>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</si>
  <si>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</si>
  <si>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</si>
  <si>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</si>
  <si>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</si>
  <si>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</si>
  <si>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</si>
  <si>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</si>
  <si>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</si>
  <si>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</si>
  <si>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</si>
  <si>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</si>
  <si>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</si>
  <si>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</si>
  <si>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</si>
  <si>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</si>
  <si>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</si>
  <si>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</si>
  <si>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</si>
  <si>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</si>
  <si>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</si>
  <si>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</si>
  <si>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</si>
  <si>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</si>
  <si>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</si>
  <si>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</si>
  <si>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</si>
  <si>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</si>
  <si>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</si>
  <si>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</si>
  <si>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</si>
  <si>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</si>
  <si>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</si>
  <si>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</si>
  <si>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</si>
  <si>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</si>
  <si>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</si>
  <si>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</si>
  <si>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</si>
  <si>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</si>
  <si>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</si>
  <si>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</si>
  <si>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</si>
  <si>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</si>
  <si>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</si>
  <si>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</si>
  <si>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</si>
  <si>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</si>
  <si>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</si>
  <si>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</si>
  <si>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</si>
  <si>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</si>
  <si>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</si>
  <si>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</si>
  <si>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</si>
  <si>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</si>
  <si>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</si>
  <si>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</si>
  <si>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</si>
  <si>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</si>
  <si>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</si>
  <si>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</si>
  <si>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</si>
  <si>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</si>
  <si>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</si>
  <si>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</si>
  <si>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</si>
  <si>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</si>
  <si>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</si>
  <si>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</si>
  <si>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</si>
  <si>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</si>
  <si>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</si>
  <si>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</si>
  <si>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</si>
  <si>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</si>
  <si>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</si>
  <si>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</si>
  <si>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</si>
  <si>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</si>
  <si>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</si>
  <si>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</si>
  <si>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</si>
  <si>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</si>
  <si>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</si>
  <si>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</si>
  <si>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</si>
  <si>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</si>
  <si>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</si>
  <si>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</si>
  <si>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</si>
  <si>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</si>
  <si>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</si>
  <si>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</si>
  <si>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</si>
  <si>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</si>
  <si>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</si>
  <si>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</si>
  <si>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</si>
  <si>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</si>
  <si>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</si>
  <si>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</si>
  <si>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</si>
  <si>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</si>
  <si>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</si>
  <si>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</si>
  <si>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</si>
  <si>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</si>
  <si>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</si>
  <si>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</si>
  <si>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</si>
  <si>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</si>
  <si>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</si>
  <si>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</si>
  <si>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</si>
  <si>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</si>
  <si>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</si>
  <si>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</si>
  <si>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</si>
  <si>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</si>
  <si>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</si>
  <si>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</si>
  <si>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</si>
  <si>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</si>
  <si>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</si>
  <si>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</si>
  <si>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</si>
  <si>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</si>
  <si>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</si>
  <si>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</si>
  <si>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</si>
  <si>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</si>
  <si>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</si>
  <si>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</si>
  <si>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</si>
  <si>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DC4 Eden</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</si>
  <si>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</si>
  <si>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</si>
  <si>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</si>
  <si>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</si>
  <si>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</si>
  <si>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</si>
  <si>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</si>
  <si>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</si>
  <si>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DC48 West Rand</t>
  </si>
  <si>
    <t>DC5 Central Karoo</t>
  </si>
  <si>
    <t>DC6 Namakwa</t>
  </si>
  <si>
    <t>NC NORTHERN CAPE</t>
  </si>
  <si>
    <t>DC8 Siyanda</t>
  </si>
  <si>
    <t>DC9 Frances Baard</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</si>
  <si>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</si>
  <si>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</si>
  <si>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</si>
  <si>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</si>
  <si>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</si>
  <si>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</si>
  <si>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</si>
  <si>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</si>
  <si>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</si>
  <si>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</si>
  <si>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</si>
  <si>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</si>
  <si>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</si>
  <si>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</si>
  <si>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</si>
  <si>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</si>
  <si>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</si>
  <si>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</si>
  <si>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</si>
  <si>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</si>
  <si>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</si>
  <si>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</si>
  <si>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</si>
  <si>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</si>
  <si>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</si>
  <si>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</si>
  <si>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</si>
  <si>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</si>
  <si>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</si>
  <si>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</si>
  <si>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</si>
  <si>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</si>
  <si>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</si>
  <si>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</si>
  <si>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</si>
  <si>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</si>
  <si>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</si>
  <si>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</si>
  <si>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</si>
  <si>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</si>
  <si>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</si>
  <si>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</si>
  <si>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</si>
  <si>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</si>
  <si>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</si>
  <si>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</si>
  <si>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</si>
  <si>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</si>
  <si>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</si>
  <si>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</si>
  <si>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</si>
  <si>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</si>
  <si>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</si>
  <si>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</si>
  <si>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</si>
  <si>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</si>
  <si>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</si>
  <si>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</si>
  <si>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</si>
  <si>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</si>
  <si>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</si>
  <si>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</si>
  <si>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</si>
  <si>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</si>
  <si>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</si>
  <si>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</si>
  <si>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</si>
  <si>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</si>
  <si>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</si>
  <si>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</si>
  <si>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</si>
  <si>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</si>
  <si>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</si>
  <si>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</si>
  <si>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</si>
  <si>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</si>
  <si>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</si>
  <si>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</si>
  <si>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</si>
  <si>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</si>
  <si>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</si>
  <si>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</si>
  <si>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</si>
  <si>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</si>
  <si>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</si>
  <si>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</si>
  <si>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</si>
  <si>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</si>
  <si>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</si>
  <si>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</si>
  <si>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</si>
  <si>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</si>
  <si>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</si>
  <si>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</si>
  <si>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</si>
  <si>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</si>
  <si>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</si>
  <si>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</si>
  <si>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</si>
  <si>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</si>
  <si>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</si>
  <si>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</si>
  <si>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</si>
  <si>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</si>
  <si>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</si>
  <si>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</si>
  <si>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</si>
  <si>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</si>
  <si>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</si>
  <si>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</si>
  <si>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</si>
  <si>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</si>
  <si>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</si>
  <si>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</si>
  <si>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</si>
  <si>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</si>
  <si>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</si>
  <si>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</si>
  <si>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</si>
  <si>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</si>
  <si>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</si>
  <si>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</si>
  <si>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</si>
  <si>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</si>
  <si>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</si>
  <si>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</si>
  <si>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</si>
  <si>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</si>
  <si>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</si>
  <si>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</si>
  <si>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</si>
  <si>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</si>
  <si>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</si>
  <si>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</si>
  <si>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</si>
  <si>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</si>
  <si>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</si>
  <si>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</si>
  <si>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</si>
  <si>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</si>
  <si>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</si>
  <si>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</si>
  <si>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</si>
  <si>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</si>
  <si>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</si>
  <si>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</si>
  <si>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</si>
  <si>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</si>
  <si>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</si>
  <si>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</si>
  <si>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</si>
  <si>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</si>
  <si>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</si>
  <si>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</si>
  <si>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</si>
  <si>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</si>
  <si>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</si>
  <si>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</si>
  <si>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</si>
  <si>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</si>
  <si>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</si>
  <si>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</si>
  <si>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</si>
  <si>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</si>
  <si>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</si>
  <si>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</si>
  <si>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</si>
  <si>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</si>
  <si>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</si>
  <si>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</si>
  <si>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</si>
  <si>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</si>
  <si>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</si>
  <si>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</si>
  <si>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</si>
  <si>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</si>
  <si>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</si>
  <si>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</si>
  <si>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</si>
  <si>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</si>
  <si>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</si>
  <si>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</si>
  <si>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</si>
  <si>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</si>
  <si>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</si>
  <si>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</si>
  <si>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</si>
  <si>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</si>
  <si>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</si>
  <si>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</si>
  <si>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</si>
  <si>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</si>
  <si>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</si>
  <si>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</si>
  <si>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</si>
  <si>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</si>
  <si>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</si>
  <si>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</si>
  <si>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</si>
  <si>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</si>
  <si>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</si>
  <si>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</si>
  <si>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</si>
  <si>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</si>
  <si>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</si>
  <si>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</si>
  <si>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</si>
  <si>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</si>
  <si>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</si>
  <si>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</si>
  <si>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</si>
  <si>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</si>
  <si>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</si>
  <si>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</si>
  <si>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</si>
  <si>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</si>
  <si>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</si>
  <si>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</si>
  <si>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</si>
  <si>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</si>
  <si>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</si>
  <si>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</si>
  <si>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</si>
  <si>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</si>
  <si>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</si>
  <si>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</si>
  <si>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</si>
  <si>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</si>
  <si>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</si>
  <si>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</si>
  <si>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</si>
  <si>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</si>
  <si>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</si>
  <si>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</si>
  <si>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</si>
  <si>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</si>
  <si>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</si>
  <si>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</si>
  <si>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</si>
  <si>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</si>
  <si>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</si>
  <si>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</si>
  <si>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</si>
  <si>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</si>
  <si>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</si>
  <si>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</si>
  <si>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</si>
  <si>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</si>
  <si>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</si>
  <si>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</si>
  <si>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</si>
  <si>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</si>
  <si>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</si>
  <si>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</si>
  <si>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</si>
  <si>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</si>
  <si>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</si>
  <si>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</si>
  <si>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</si>
  <si>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</si>
  <si>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</si>
  <si>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</si>
  <si>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</si>
  <si>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</si>
  <si>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</si>
  <si>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</si>
  <si>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</si>
  <si>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</si>
  <si>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</si>
  <si>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</si>
  <si>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</si>
  <si>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</si>
  <si>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</si>
  <si>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</si>
  <si>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</si>
  <si>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</si>
  <si>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</si>
  <si>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</si>
  <si>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</si>
  <si>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</si>
  <si>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</si>
  <si>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</si>
  <si>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</si>
  <si>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</si>
  <si>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</si>
  <si>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</si>
  <si>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</si>
  <si>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</si>
  <si>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</si>
  <si>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</si>
  <si>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</si>
  <si>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</si>
  <si>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</si>
  <si>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</si>
  <si>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</si>
  <si>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</si>
  <si>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</si>
  <si>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</si>
  <si>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</si>
  <si>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</si>
  <si>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</si>
  <si>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</si>
  <si>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</si>
  <si>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</si>
  <si>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</si>
  <si>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</si>
  <si>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</si>
  <si>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</si>
  <si>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</si>
  <si>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</si>
  <si>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</si>
  <si>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</si>
  <si>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</si>
  <si>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</si>
  <si>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</si>
  <si>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</si>
  <si>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</si>
  <si>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</si>
  <si>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</si>
  <si>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</si>
  <si>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</si>
  <si>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</si>
  <si>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</si>
  <si>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</si>
  <si>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</si>
  <si>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</si>
  <si>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</si>
  <si>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</si>
  <si>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</si>
  <si>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</si>
  <si>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</si>
  <si>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</si>
  <si>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</si>
  <si>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</si>
  <si>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</si>
  <si>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</si>
  <si>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</si>
  <si>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</si>
  <si>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</si>
  <si>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</si>
  <si>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</si>
  <si>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</si>
  <si>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</si>
  <si>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</si>
  <si>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</si>
  <si>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</si>
  <si>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</si>
  <si>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</si>
  <si>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</si>
  <si>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</si>
  <si>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</si>
  <si>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</si>
  <si>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</si>
  <si>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</si>
  <si>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</si>
  <si>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</si>
  <si>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</si>
  <si>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</si>
  <si>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</si>
  <si>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</si>
  <si>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</si>
  <si>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</si>
  <si>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</si>
  <si>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</si>
  <si>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</si>
  <si>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</si>
  <si>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</si>
  <si>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</si>
  <si>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</si>
  <si>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</si>
  <si>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</si>
  <si>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</si>
  <si>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</si>
  <si>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</si>
  <si>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</si>
  <si>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</si>
  <si>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</si>
  <si>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</si>
  <si>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</si>
  <si>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</si>
  <si>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</si>
  <si>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</si>
  <si>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</si>
  <si>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</si>
  <si>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</si>
  <si>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</si>
  <si>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</si>
  <si>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</si>
  <si>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</si>
  <si>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</si>
  <si>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</si>
  <si>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</si>
  <si>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</si>
  <si>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</si>
  <si>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</si>
  <si>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</si>
  <si>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</si>
  <si>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</si>
  <si>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</si>
  <si>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</si>
  <si>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</si>
  <si>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</si>
  <si>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</si>
  <si>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</si>
  <si>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</si>
  <si>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</si>
  <si>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</si>
  <si>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</si>
  <si>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</si>
  <si>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</si>
  <si>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</si>
  <si>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</si>
  <si>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</si>
  <si>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</si>
  <si>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</si>
  <si>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</si>
  <si>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</si>
  <si>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</si>
  <si>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</si>
  <si>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</si>
  <si>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</si>
  <si>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</si>
  <si>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</si>
  <si>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</si>
  <si>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</si>
  <si>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</si>
  <si>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</si>
  <si>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</si>
  <si>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</si>
  <si>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</si>
  <si>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</si>
  <si>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</si>
  <si>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</si>
  <si>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</si>
  <si>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</si>
  <si>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</si>
  <si>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</si>
  <si>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</si>
  <si>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Other capital transfers/grants [insert description]</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</si>
  <si>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</si>
  <si>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</si>
  <si>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</si>
  <si>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</si>
  <si>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</si>
  <si>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</si>
  <si>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</si>
  <si>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</si>
  <si>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</si>
  <si>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</si>
  <si>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</si>
  <si>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</si>
  <si>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</si>
  <si>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</si>
  <si>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</si>
  <si>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</si>
  <si>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</si>
  <si>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</si>
  <si>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</si>
  <si>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</si>
  <si>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</si>
  <si>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</si>
  <si>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</si>
  <si>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</si>
  <si>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</si>
  <si>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</si>
  <si>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</si>
  <si>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</si>
  <si>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</si>
  <si>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</si>
  <si>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</si>
  <si>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</si>
  <si>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</si>
  <si>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</si>
  <si>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</si>
  <si>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</si>
  <si>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</si>
  <si>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</si>
  <si>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</si>
  <si>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</si>
  <si>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</si>
  <si>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</si>
  <si>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</si>
  <si>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</si>
  <si>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</si>
  <si>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</si>
  <si>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</si>
  <si>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</si>
  <si>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</si>
  <si>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</si>
  <si>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</si>
  <si>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</si>
  <si>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</si>
  <si>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</si>
  <si>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</si>
  <si>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</si>
  <si>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</si>
  <si>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</si>
  <si>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</si>
  <si>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</si>
  <si>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</si>
  <si>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</si>
  <si>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</si>
  <si>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</si>
  <si>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</si>
  <si>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</si>
  <si>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</si>
  <si>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</si>
  <si>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</si>
  <si>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</si>
  <si>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</si>
  <si>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</si>
  <si>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</si>
  <si>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</si>
  <si>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</si>
  <si>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</si>
  <si>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</si>
  <si>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</si>
  <si>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</si>
  <si>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</si>
  <si>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</si>
  <si>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</si>
  <si>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</si>
  <si>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</si>
  <si>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</si>
  <si>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</si>
  <si>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</si>
  <si>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</si>
  <si>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</si>
  <si>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</si>
  <si>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</si>
  <si>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</si>
  <si>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</si>
  <si>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</si>
  <si>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</si>
  <si>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</si>
  <si>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</si>
  <si>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</si>
  <si>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</si>
  <si>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</si>
  <si>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</si>
  <si>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</si>
  <si>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</si>
  <si>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</si>
  <si>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</si>
  <si>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</si>
  <si>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</si>
  <si>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</si>
  <si>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</si>
  <si>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</si>
  <si>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</si>
  <si>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</si>
  <si>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</si>
  <si>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</si>
  <si>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</si>
  <si>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</si>
  <si>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</si>
  <si>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</si>
  <si>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</si>
  <si>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</si>
  <si>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</si>
  <si>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</si>
  <si>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</si>
  <si>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</si>
  <si>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</si>
  <si>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</si>
  <si>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</si>
  <si>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</si>
  <si>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</si>
  <si>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</si>
  <si>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</si>
  <si>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</si>
  <si>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</si>
  <si>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</si>
  <si>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</si>
  <si>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</si>
  <si>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</si>
  <si>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</si>
  <si>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</si>
  <si>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</si>
  <si>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</si>
  <si>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</si>
  <si>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</si>
  <si>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</si>
  <si>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</si>
  <si>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</si>
  <si>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</si>
  <si>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</si>
  <si>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</si>
  <si>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</si>
  <si>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</si>
  <si>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</si>
  <si>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</si>
  <si>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</si>
  <si>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</si>
  <si>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</si>
  <si>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</si>
  <si>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</si>
  <si>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</si>
  <si>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</si>
  <si>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</si>
  <si>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</si>
  <si>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</si>
  <si>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</si>
  <si>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</si>
  <si>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</si>
  <si>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</si>
  <si>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</si>
  <si>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</si>
  <si>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</si>
  <si>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</si>
  <si>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</si>
  <si>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</si>
  <si>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</si>
  <si>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</si>
  <si>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</si>
  <si>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</si>
  <si>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</si>
  <si>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</si>
  <si>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</si>
  <si>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</si>
  <si>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</si>
  <si>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</si>
  <si>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</si>
  <si>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</si>
  <si>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</si>
  <si>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</si>
  <si>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</si>
  <si>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</si>
  <si>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</si>
  <si>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</si>
  <si>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</si>
  <si>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</si>
  <si>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</si>
  <si>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</si>
  <si>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</si>
  <si>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</si>
  <si>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</si>
  <si>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</si>
  <si>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</si>
  <si>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</si>
  <si>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</si>
  <si>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</si>
  <si>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</si>
  <si>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</si>
  <si>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</si>
  <si>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</si>
  <si>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</si>
  <si>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</si>
  <si>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</si>
  <si>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</si>
  <si>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</si>
  <si>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</si>
  <si>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</si>
  <si>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</si>
  <si>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</si>
  <si>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</si>
  <si>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</si>
  <si>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</si>
  <si>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</si>
  <si>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</si>
  <si>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</si>
  <si>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</si>
  <si>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</si>
  <si>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</si>
  <si>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</si>
  <si>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</si>
  <si>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</si>
  <si>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</si>
  <si>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</si>
  <si>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</si>
  <si>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</si>
  <si>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</si>
  <si>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</si>
  <si>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</si>
  <si>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</si>
  <si>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</si>
  <si>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</si>
  <si>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</si>
  <si>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</si>
  <si>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</si>
  <si>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</si>
  <si>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</si>
  <si>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</si>
  <si>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</si>
  <si>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</si>
  <si>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</si>
  <si>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</si>
  <si>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</si>
  <si>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</si>
  <si>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</si>
  <si>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</si>
  <si>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</si>
  <si>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</si>
  <si>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</si>
  <si>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</si>
  <si>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</si>
  <si>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</si>
  <si>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</si>
  <si>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</si>
  <si>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</si>
  <si>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</si>
  <si>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</si>
  <si>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</si>
  <si>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</si>
  <si>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</si>
  <si>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</si>
  <si>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</si>
  <si>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</si>
  <si>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</si>
  <si>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</si>
  <si>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</si>
  <si>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</si>
  <si>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</si>
  <si>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</si>
  <si>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</si>
  <si>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</si>
  <si>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</si>
  <si>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</si>
  <si>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</si>
  <si>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</si>
  <si>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</si>
  <si>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</si>
  <si>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</si>
  <si>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</si>
  <si>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</si>
  <si>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</si>
  <si>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</si>
  <si>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</si>
  <si>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</si>
  <si>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</si>
  <si>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</si>
  <si>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</si>
  <si>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</si>
  <si>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</si>
  <si>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</si>
  <si>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</si>
  <si>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</si>
  <si>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</si>
  <si>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</si>
  <si>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</si>
  <si>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</si>
  <si>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</si>
  <si>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</si>
  <si>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</si>
  <si>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</si>
  <si>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</si>
  <si>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</si>
  <si>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</si>
  <si>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</si>
  <si>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</si>
  <si>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</si>
  <si>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</si>
  <si>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</si>
  <si>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</si>
  <si>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</si>
  <si>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</si>
  <si>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</si>
  <si>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</si>
  <si>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</si>
  <si>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</si>
  <si>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</si>
  <si>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</si>
  <si>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</si>
  <si>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</si>
  <si>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</si>
  <si>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</si>
  <si>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</si>
  <si>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</si>
  <si>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</si>
  <si>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</si>
  <si>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</si>
  <si>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</si>
  <si>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EC443 Mbizana</t>
  </si>
  <si>
    <t>EC444 Ntabankulu</t>
  </si>
  <si>
    <t>FS164 Naledi (Fs)</t>
  </si>
  <si>
    <t>FS196 Mantsopa</t>
  </si>
  <si>
    <t>MP312 Emalahleni (Mp)</t>
  </si>
  <si>
    <t>MP315 Thembisile Hani</t>
  </si>
  <si>
    <t>NW397 Molopo-Kagisano</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</si>
  <si>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</si>
  <si>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</si>
  <si>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</si>
  <si>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</si>
  <si>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</si>
  <si>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</si>
  <si>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</si>
  <si>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</si>
  <si>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</si>
  <si>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</si>
  <si>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</si>
  <si>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</si>
  <si>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</si>
  <si>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</si>
  <si>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</si>
  <si>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</si>
  <si>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</si>
  <si>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</si>
  <si>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</si>
  <si>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</si>
  <si>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</si>
  <si>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</si>
  <si>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</si>
  <si>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</si>
  <si>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</si>
  <si>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</si>
  <si>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</si>
  <si>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</si>
  <si>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</si>
  <si>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</si>
  <si>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</si>
  <si>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1.10</t>
  </si>
  <si>
    <t>2.10</t>
  </si>
  <si>
    <t>3.10</t>
  </si>
  <si>
    <t>4.10</t>
  </si>
  <si>
    <t>5.10</t>
  </si>
  <si>
    <t>6.10</t>
  </si>
  <si>
    <t>7.10</t>
  </si>
  <si>
    <t>8.10</t>
  </si>
  <si>
    <t>9.10</t>
  </si>
  <si>
    <t>10.10</t>
  </si>
  <si>
    <t>11.10</t>
  </si>
  <si>
    <t>12.10</t>
  </si>
  <si>
    <t>13.10</t>
  </si>
  <si>
    <t>14.10</t>
  </si>
  <si>
    <t>15.10</t>
  </si>
  <si>
    <t>Organisational Structure Sub-Votes</t>
  </si>
  <si>
    <t>Organisational Structure Votes</t>
  </si>
  <si>
    <t>2.1 - [Name of sub-vote]</t>
  </si>
  <si>
    <t>3.1 - [Name of sub-vote]</t>
  </si>
  <si>
    <t>4.1 - [Name of sub-vote]</t>
  </si>
  <si>
    <t>5.1 - [Name of sub-vote]</t>
  </si>
  <si>
    <t>6.1 - [Name of sub-vote]</t>
  </si>
  <si>
    <t>7.1 - [Name of sub-vote]</t>
  </si>
  <si>
    <t>8.1 - [Name of sub-vote]</t>
  </si>
  <si>
    <t>9.1 - [Name of sub-vote]</t>
  </si>
  <si>
    <t>10.1 - [Name of sub-vote]</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</si>
  <si>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</si>
  <si>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</si>
  <si>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</si>
  <si>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</si>
  <si>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</si>
  <si>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</si>
  <si>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</si>
  <si>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</si>
  <si>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</si>
  <si>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</si>
  <si>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</si>
  <si>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</si>
  <si>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</si>
  <si>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</si>
  <si>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</si>
  <si>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</si>
  <si>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</si>
  <si>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</si>
  <si>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</si>
  <si>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</si>
  <si>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</si>
  <si>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</si>
  <si>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</si>
  <si>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</si>
  <si>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</si>
  <si>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</si>
  <si>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</si>
  <si>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</si>
  <si>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</si>
  <si>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</si>
  <si>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</si>
  <si>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</si>
  <si>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</si>
  <si>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</si>
  <si>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</si>
  <si>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</si>
  <si>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</si>
  <si>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</si>
  <si>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</si>
  <si>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</si>
  <si>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</si>
  <si>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</si>
  <si>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</si>
  <si>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</si>
  <si>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</si>
  <si>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</si>
  <si>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</si>
  <si>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</si>
  <si>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</si>
  <si>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</si>
  <si>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</si>
  <si>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</si>
  <si>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</si>
  <si>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</si>
  <si>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</si>
  <si>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</si>
  <si>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</si>
  <si>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</si>
  <si>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</si>
  <si>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</si>
  <si>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</si>
  <si>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</si>
  <si>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</si>
  <si>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</si>
  <si>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</si>
  <si>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</si>
  <si>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</si>
  <si>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</si>
  <si>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</si>
  <si>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</si>
  <si>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</si>
  <si>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</si>
  <si>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</si>
  <si>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</si>
  <si>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</si>
  <si>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</si>
  <si>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</si>
  <si>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</si>
  <si>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</si>
  <si>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</si>
  <si>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</si>
  <si>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</si>
  <si>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</si>
  <si>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</si>
  <si>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</si>
  <si>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</si>
  <si>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</si>
  <si>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</si>
  <si>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</si>
  <si>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</si>
  <si>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</si>
  <si>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</si>
  <si>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</si>
  <si>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</si>
  <si>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</si>
  <si>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</si>
  <si>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</si>
  <si>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</si>
  <si>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</si>
  <si>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</si>
  <si>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</si>
  <si>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</si>
  <si>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</si>
  <si>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</si>
  <si>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</si>
  <si>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</si>
  <si>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</si>
  <si>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</si>
  <si>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</si>
  <si>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</si>
  <si>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</si>
  <si>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</si>
  <si>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</si>
  <si>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</si>
  <si>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</si>
  <si>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</si>
  <si>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</si>
  <si>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</si>
  <si>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</si>
  <si>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</si>
  <si>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</si>
  <si>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</si>
  <si>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</si>
  <si>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</si>
  <si>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</si>
  <si>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</si>
  <si>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</si>
  <si>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</si>
  <si>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</si>
  <si>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</si>
  <si>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</si>
  <si>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</si>
  <si>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</si>
  <si>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</si>
  <si>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</si>
  <si>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</si>
  <si>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</si>
  <si>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</si>
  <si>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</si>
  <si>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</si>
  <si>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</si>
  <si>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</si>
  <si>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</si>
  <si>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</si>
  <si>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</si>
  <si>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</si>
  <si>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</si>
  <si>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</si>
  <si>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</si>
  <si>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</si>
  <si>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</si>
  <si>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</si>
  <si>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</si>
  <si>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</si>
  <si>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</si>
  <si>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</si>
  <si>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</si>
  <si>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</si>
  <si>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</si>
  <si>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</si>
  <si>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</si>
  <si>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</si>
  <si>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</si>
  <si>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</si>
  <si>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</si>
  <si>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</si>
  <si>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</si>
  <si>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</si>
  <si>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</si>
  <si>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</si>
  <si>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</si>
  <si>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</si>
  <si>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</si>
  <si>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</si>
  <si>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</si>
  <si>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</si>
  <si>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</si>
  <si>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</si>
  <si>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</si>
  <si>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</si>
  <si>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</si>
  <si>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</si>
  <si>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</si>
  <si>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</si>
  <si>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</si>
  <si>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</si>
  <si>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</si>
  <si>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</si>
  <si>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 xml:space="preserve">New multi-year appropriations 
(funds for new and existing projects) </t>
  </si>
  <si>
    <t>Appropriation carried forward</t>
  </si>
  <si>
    <t>Debtors collection assumptions</t>
  </si>
  <si>
    <t>1. Depreciation based on write down values. Not including Depreciation resulting from revaluation.</t>
  </si>
  <si>
    <t>`</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</si>
  <si>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</si>
  <si>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</si>
  <si>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</si>
  <si>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</si>
  <si>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</si>
  <si>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</si>
  <si>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</si>
  <si>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</si>
  <si>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</si>
  <si>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</si>
  <si>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</si>
  <si>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</si>
  <si>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</si>
  <si>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</si>
  <si>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</si>
  <si>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</si>
  <si>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</si>
  <si>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</si>
  <si>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</si>
  <si>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</si>
  <si>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</si>
  <si>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</si>
  <si>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</si>
  <si>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</si>
  <si>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</si>
  <si>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</si>
  <si>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</si>
  <si>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</si>
  <si>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</si>
  <si>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</si>
  <si>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</si>
  <si>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</si>
  <si>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BUF Buffalo City</t>
  </si>
  <si>
    <t>NMA Nelson Mandela Bay</t>
  </si>
  <si>
    <t>MAN Mangaung</t>
  </si>
  <si>
    <t>EKU Ekurhuleni Metro</t>
  </si>
  <si>
    <t>JHB City Of Johannesburg</t>
  </si>
  <si>
    <t>TSH City Of Tshwane</t>
  </si>
  <si>
    <t>ETH eThekwini</t>
  </si>
  <si>
    <t>LIM LIMPOPO</t>
  </si>
  <si>
    <t>CPT Cape Town</t>
  </si>
  <si>
    <t>EC136 Emalahleni (EC)</t>
  </si>
  <si>
    <t>7. Correct as at 30 June</t>
  </si>
  <si>
    <t>5,7</t>
  </si>
  <si>
    <t>10. Correct as at 30 June</t>
  </si>
  <si>
    <t>8,10</t>
  </si>
  <si>
    <t>9. Correct as at 30 June</t>
  </si>
  <si>
    <t>1. If properties are not rated or zero rated this must be indicated as such</t>
  </si>
  <si>
    <t>Other rebates or exemptions</t>
  </si>
  <si>
    <t>[Insert blocks as applicable]</t>
  </si>
  <si>
    <t>Total Cost of Losses (Rand '000)</t>
  </si>
  <si>
    <r>
      <t>Total Volume Losses (kW</t>
    </r>
    <r>
      <rPr>
        <sz val="8"/>
        <rFont val="Arial Narrow"/>
        <family val="2"/>
      </rPr>
      <t>)</t>
    </r>
  </si>
  <si>
    <t>Total Volume Losses (kℓ)</t>
  </si>
  <si>
    <t>2.Please provide detailed descriptions on Sheet SA13b</t>
  </si>
  <si>
    <t>Supporting Table SA13a</t>
  </si>
  <si>
    <t>Supporting Table SA13b</t>
  </si>
  <si>
    <t>10. Must account for all budgeted positions, as per the municipal organogram</t>
  </si>
  <si>
    <t>6, 10</t>
  </si>
  <si>
    <t>8, 10</t>
  </si>
  <si>
    <t>% Volume (units purchased and generated less units sold)/units purchased and generated</t>
  </si>
  <si>
    <t>2011 Census</t>
  </si>
  <si>
    <t>Opening balance</t>
  </si>
  <si>
    <t>Investment Top Up</t>
  </si>
  <si>
    <t>Closing Balance</t>
  </si>
  <si>
    <t>4. Withdrawals to be entered as negative</t>
  </si>
  <si>
    <t>Partial / Premature Withdrawal (4)</t>
  </si>
  <si>
    <t>DC43 Harry Gwala</t>
  </si>
  <si>
    <t>Test</t>
  </si>
  <si>
    <t>Property rates, penalties &amp; collection charges</t>
  </si>
  <si>
    <t>1. Note that this section of Table SA 30 is deliberately not linked to Table A4 because timing differences between the invoicing of clients and receiving the cash means that the cashflow will differ from budgeted revenue, and similarly for budgeted expenditure. However for the MTREF it is now directly linked to A7.</t>
  </si>
  <si>
    <t>3. The MTREF is populated directly from SA30.</t>
  </si>
  <si>
    <t>4. Note this is for a SINGLE household.</t>
  </si>
  <si>
    <r>
      <t xml:space="preserve">3. Average rate - cents in  the Rand. Eg 10.26 cents in the Rand is 0.1026, expressed to </t>
    </r>
    <r>
      <rPr>
        <i/>
        <sz val="8"/>
        <color indexed="10"/>
        <rFont val="Arial Narrow"/>
        <family val="2"/>
      </rPr>
      <t>6 decimal places maximum</t>
    </r>
  </si>
  <si>
    <t>7. Show number of households receiving at least these levels of services completely free (informal settlements must be included)</t>
  </si>
  <si>
    <t>5. Must agree to total number of households in municipal area (informal settlements receiving services must be included)</t>
  </si>
  <si>
    <t>MS MAKGABA</t>
  </si>
  <si>
    <t>013 986 9100</t>
  </si>
  <si>
    <t>013 986 9155</t>
  </si>
  <si>
    <t>MakgabaM@thembisilehanilm.gov.za</t>
  </si>
  <si>
    <t>100 COUNCIL &amp; GENERAL</t>
  </si>
  <si>
    <t>102 MUNICIPAL MANAGER</t>
  </si>
  <si>
    <t>104 FINANCE</t>
  </si>
  <si>
    <t>105 TECHNICAL SERVICES</t>
  </si>
  <si>
    <t>500 PMU</t>
  </si>
  <si>
    <t>520 WASTE MANAGEMENT</t>
  </si>
  <si>
    <t>SALARIES</t>
  </si>
  <si>
    <t>GENERAL EXPENDITURE</t>
  </si>
  <si>
    <t>REPAIRS &amp; MAINTENANCE</t>
  </si>
  <si>
    <t>INCOME</t>
  </si>
  <si>
    <t>PRIVATE BAG X 4041</t>
  </si>
  <si>
    <t>EMPUMALANGA</t>
  </si>
  <si>
    <t>013 986-9100</t>
  </si>
  <si>
    <t>013 986-0995</t>
  </si>
  <si>
    <t>PP MOSERI</t>
  </si>
  <si>
    <t>NJ MAHLANGU</t>
  </si>
  <si>
    <t>JC JIYANE</t>
  </si>
  <si>
    <t>HILDA MTHOMBENI</t>
  </si>
  <si>
    <t>G MASILELA</t>
  </si>
  <si>
    <t>013 986-91000</t>
  </si>
  <si>
    <t>PS MAHLANGU</t>
  </si>
  <si>
    <t>J MOYO</t>
  </si>
  <si>
    <t>B MASHAO</t>
  </si>
  <si>
    <t>SE WRIGHT</t>
  </si>
  <si>
    <t>103 PLANNING and DEVELOPMENT</t>
  </si>
  <si>
    <t>530 ELECTRICITY SERVICES</t>
  </si>
  <si>
    <t>560 SANITATION SERVICES</t>
  </si>
  <si>
    <t>106 CORPORATE SERVICES</t>
  </si>
  <si>
    <t>107 COMMUNITY SERVICES</t>
  </si>
  <si>
    <t>540 WATER SERVICES</t>
  </si>
  <si>
    <t>550 ROADS &amp; STORMWATER</t>
  </si>
  <si>
    <t>010010 Service Charges ( Rates and Taxes)</t>
  </si>
  <si>
    <t>020020 Rental Sites Business</t>
  </si>
  <si>
    <t>025020 Interest Earned Current Account</t>
  </si>
  <si>
    <t>025030 Interest Earned Investment</t>
  </si>
  <si>
    <t>030010 Interest Earned On Arears</t>
  </si>
  <si>
    <t>045010 Trading Licences</t>
  </si>
  <si>
    <t>055020 Municipal Systems Improvement Grant</t>
  </si>
  <si>
    <t>055040 Finance Management Grant</t>
  </si>
  <si>
    <t>055081 Equitable Share Allocation</t>
  </si>
  <si>
    <t>060100 Other Incomes</t>
  </si>
  <si>
    <t>060110 Clearance Certificates</t>
  </si>
  <si>
    <t>060191 Billboards Advertising</t>
  </si>
  <si>
    <t>060195 Dishounerd/Lost/Damage Cheque</t>
  </si>
  <si>
    <t>060200 Roll-Over MSIG</t>
  </si>
  <si>
    <t>060210 Asset Disposal</t>
  </si>
  <si>
    <t>060225  Vat Revenue On Grants - MIG</t>
  </si>
  <si>
    <t>060230 Balance b/f  Unapproppriated Funds</t>
  </si>
  <si>
    <t xml:space="preserve">060230 Special Supp For Counc Rem &amp; Ward </t>
  </si>
  <si>
    <t>055010 Municipal Infrastructure Grant</t>
  </si>
  <si>
    <t>060010 Other Income</t>
  </si>
  <si>
    <t>060015 Buildings Plans</t>
  </si>
  <si>
    <t>060030 Administration Fee /Registration</t>
  </si>
  <si>
    <t>060160 Application Tender Documents</t>
  </si>
  <si>
    <t>060170 MIG Roll - Over 2009/10</t>
  </si>
  <si>
    <t>060199 Alteration /Extention of Building</t>
  </si>
  <si>
    <t>060270 Refuse Removal</t>
  </si>
  <si>
    <t>060275 Basic Charge Refuse Removal</t>
  </si>
  <si>
    <t>060285 Sale Of Refuse Bins</t>
  </si>
  <si>
    <t>055010 Intergrated Electrification Grant</t>
  </si>
  <si>
    <t>055150 Operating Subsidy</t>
  </si>
  <si>
    <t>060170 Hiring Of JoJo Tanks</t>
  </si>
  <si>
    <t>060197 Delivery of Water</t>
  </si>
  <si>
    <t>060360 Water Consumption</t>
  </si>
  <si>
    <t>060384 Basic Charges Com/GOV/Chu</t>
  </si>
  <si>
    <t>060390 Water Connections</t>
  </si>
  <si>
    <t>060384 Basic Charges Residential Water</t>
  </si>
  <si>
    <t>060385 Water Ser Operating Subsudy -In Kind</t>
  </si>
  <si>
    <t>060020 Basic Charge Sanitation Residential</t>
  </si>
  <si>
    <t>060070 Basic Charge Sanitation Business</t>
  </si>
  <si>
    <t>060060 Septic Tank Fees</t>
  </si>
  <si>
    <t>020040 Sales of Houses</t>
  </si>
  <si>
    <t>020010 Sale of Stands</t>
  </si>
  <si>
    <t>020050 Cemetry</t>
  </si>
  <si>
    <t>020070 Billbords Adveritising</t>
  </si>
  <si>
    <t>055010 Library Items</t>
  </si>
  <si>
    <t>020010 Rental Halls</t>
  </si>
  <si>
    <t>020025 Rental Stadiums</t>
  </si>
  <si>
    <t>020030 Rental Sites Residential</t>
  </si>
  <si>
    <t>060190 Grading of Sports Ground &amp; Sites</t>
  </si>
  <si>
    <t>060192 Rental (Lease) Cluster Building</t>
  </si>
  <si>
    <t>060193 Rental Workshops</t>
  </si>
  <si>
    <t>300 SPORTS,RECREATION ARTS,CULTURE AND PROPERTY SERVICES</t>
  </si>
  <si>
    <t>108 PUBLIC SAFETY &amp; ROADS</t>
  </si>
  <si>
    <t>040040 Motor Licence Fees</t>
  </si>
  <si>
    <t>040050 Commision Motor Licence Fees</t>
  </si>
  <si>
    <t>040010 Traffic Fines</t>
  </si>
  <si>
    <t>045020 Vehicle Licensing  and Testing</t>
  </si>
  <si>
    <t>060518 Agecy Commision (DLTC)</t>
  </si>
  <si>
    <t>200001 Salaries</t>
  </si>
  <si>
    <t>200060 Pension Fund Contribution</t>
  </si>
  <si>
    <t>200070 Medical Aid Contribution</t>
  </si>
  <si>
    <t>200080 Group Life Contributions</t>
  </si>
  <si>
    <t>200090 Housing Subsidies</t>
  </si>
  <si>
    <t>200110 UIF Contributions</t>
  </si>
  <si>
    <t>200140 WCC Contributions</t>
  </si>
  <si>
    <t>200170 Travel Allowances</t>
  </si>
  <si>
    <t>215005 Councillor Allowances</t>
  </si>
  <si>
    <t>215004 Cellphone Allowances</t>
  </si>
  <si>
    <t>260020 Advertisements</t>
  </si>
  <si>
    <t>260030 Pauper Burials</t>
  </si>
  <si>
    <t>260050 Membership Fees</t>
  </si>
  <si>
    <t>260060 Deputation Costs - Congresses</t>
  </si>
  <si>
    <t>260080 Fuel</t>
  </si>
  <si>
    <t>260100 Printing and Stationery</t>
  </si>
  <si>
    <t>260110 Skills Development Levy</t>
  </si>
  <si>
    <t>260130 Licences</t>
  </si>
  <si>
    <t>260140 Materials and Suppliers</t>
  </si>
  <si>
    <t>260160 Donations</t>
  </si>
  <si>
    <t>260220 Rental Office Equipment</t>
  </si>
  <si>
    <t>260240 Public Participation</t>
  </si>
  <si>
    <t>2600250 Ward Community work Progammes</t>
  </si>
  <si>
    <t>260280 Electricity and Water</t>
  </si>
  <si>
    <t>260270 Catering</t>
  </si>
  <si>
    <t>260290 Entertainment</t>
  </si>
  <si>
    <t>260300 Refreshment:Exc Mayor</t>
  </si>
  <si>
    <t>260310 Refreshments: Speaker</t>
  </si>
  <si>
    <t>260320 Refreshment:Chief Whip</t>
  </si>
  <si>
    <t>260330 Refreshments:MPAC</t>
  </si>
  <si>
    <t>260340 Refreshments:MMC,S</t>
  </si>
  <si>
    <t>260350 Refreshments:SEC 79</t>
  </si>
  <si>
    <t>260310 Training</t>
  </si>
  <si>
    <t>260360 Public &amp; Photography</t>
  </si>
  <si>
    <t>260370 Legal Costs</t>
  </si>
  <si>
    <t>260390 Software Licences</t>
  </si>
  <si>
    <t>260400 Travel and Accomodation</t>
  </si>
  <si>
    <t>260410 Travelling And Subsustence</t>
  </si>
  <si>
    <t>260420  Accomodation And Meals</t>
  </si>
  <si>
    <t>260430  Aids Festival</t>
  </si>
  <si>
    <t>260450 Telecommunication</t>
  </si>
  <si>
    <t>260480 Insurance</t>
  </si>
  <si>
    <t>260490 Fuel Depot Management Fees</t>
  </si>
  <si>
    <t>260522 Website Update</t>
  </si>
  <si>
    <t>260523 Valuation Roll</t>
  </si>
  <si>
    <t>260526 Ward Commitees Program</t>
  </si>
  <si>
    <t>235015 Repairs and Maintenance-Buildings</t>
  </si>
  <si>
    <t>235030 Repairs and Maintenance - Vehicles</t>
  </si>
  <si>
    <t>235060  Computer Hardware</t>
  </si>
  <si>
    <t>235070  Records Management Upgrade</t>
  </si>
  <si>
    <t>235110  Repairs and Maintenance - Office Machines</t>
  </si>
  <si>
    <t xml:space="preserve"> 235080  ICT Upgrade</t>
  </si>
  <si>
    <t>305010  Audit Fees</t>
  </si>
  <si>
    <t>306019  Provision for Bad Debt</t>
  </si>
  <si>
    <t>260260 Audit Commitees</t>
  </si>
  <si>
    <t>260530 Ward Committees Expense</t>
  </si>
  <si>
    <t>260370 Provision for Data Cards</t>
  </si>
  <si>
    <t>200010 Bonus</t>
  </si>
  <si>
    <t>200020 SALGBB</t>
  </si>
  <si>
    <t>200030 Acting Allowance</t>
  </si>
  <si>
    <t>200040 Overtime</t>
  </si>
  <si>
    <t>260110 SDL</t>
  </si>
  <si>
    <t>260420 Accomodation And Meals</t>
  </si>
  <si>
    <t>260460 Postage</t>
  </si>
  <si>
    <t>260530 Internal Audit</t>
  </si>
  <si>
    <t>260540 Youth Development Program</t>
  </si>
  <si>
    <t>260580 Risk Management</t>
  </si>
  <si>
    <t>266002 Provison for Bonus</t>
  </si>
  <si>
    <t>260581 Provision for Leave</t>
  </si>
  <si>
    <t>200020 SALGB</t>
  </si>
  <si>
    <t>200130 Leave Provisions</t>
  </si>
  <si>
    <t>215005 Cellphone Allowances</t>
  </si>
  <si>
    <t>200170 Travel Allowance</t>
  </si>
  <si>
    <t>260100 Printing Of IDP</t>
  </si>
  <si>
    <t>260462 Intergrated Transport Development Plan</t>
  </si>
  <si>
    <t>260520 IDP Process</t>
  </si>
  <si>
    <t>260522 LED Plan</t>
  </si>
  <si>
    <t>260527 Women and Gender Program</t>
  </si>
  <si>
    <t>260523 Community Workers Programme</t>
  </si>
  <si>
    <t>260424 Promotional Material</t>
  </si>
  <si>
    <t>260425 Cooperates And SMME DEV</t>
  </si>
  <si>
    <t>260530 PMS</t>
  </si>
  <si>
    <t>200020 SALGBC</t>
  </si>
  <si>
    <t>200090 UIF Contributions</t>
  </si>
  <si>
    <t>220001 Provision For Doubtful Debt</t>
  </si>
  <si>
    <t>260050 Deputation Costs - Congress</t>
  </si>
  <si>
    <t>260070 Bank Charges</t>
  </si>
  <si>
    <t>260140 Materials and Suppliers - Operational</t>
  </si>
  <si>
    <t>260220 Rental Office Machines</t>
  </si>
  <si>
    <t>260310 Training and Development</t>
  </si>
  <si>
    <t>2603320 AFS and Budget Related - FMG</t>
  </si>
  <si>
    <t>260370 Legal &amp; Collection Costs</t>
  </si>
  <si>
    <t>260390 Software Licence</t>
  </si>
  <si>
    <t>260520 Software Consultancy</t>
  </si>
  <si>
    <t>260500 Policy Development (By - Laws)</t>
  </si>
  <si>
    <t>200002 Interns Salaries</t>
  </si>
  <si>
    <t>260470 Budget Process</t>
  </si>
  <si>
    <t>260525 MSIG Grant</t>
  </si>
  <si>
    <t>260540 Grap Implementation - FMG</t>
  </si>
  <si>
    <t>260490 System Improvement</t>
  </si>
  <si>
    <t>260510 Budget Reform Grant(FMG)</t>
  </si>
  <si>
    <t>260545 Financial Statements</t>
  </si>
  <si>
    <t>260570 Grap Implementation - MSIG</t>
  </si>
  <si>
    <t>260580 Revenue Enhancement -MSIG</t>
  </si>
  <si>
    <t>260625 Data Cleansing &amp; Indigent Register</t>
  </si>
  <si>
    <t>260720 Asset Register &amp; Inventory Management</t>
  </si>
  <si>
    <t>260710 Grap Compliance Consultancy Fees</t>
  </si>
  <si>
    <t>235090 Rep &amp; Maint - Valuation Roll</t>
  </si>
  <si>
    <t>235100 Rep &amp; Maintenance - Valuation Roll MSIG</t>
  </si>
  <si>
    <t>235110 Munsoft Upgrade And Maintenance</t>
  </si>
  <si>
    <t>235120 Financial System Upgrade-FMG</t>
  </si>
  <si>
    <t>235130 Refurbishment Of Stores</t>
  </si>
  <si>
    <t>260730 Vat Recovery Expenditure</t>
  </si>
  <si>
    <t>200110 Skills Development Levy</t>
  </si>
  <si>
    <t>200120 Leave Provision</t>
  </si>
  <si>
    <t>260140 Materials and Suppliers - Mechanical</t>
  </si>
  <si>
    <t>260180 Town Planning</t>
  </si>
  <si>
    <t>260455 Uniforms(General Workers)</t>
  </si>
  <si>
    <t>235005 Rehabilitation of Valves</t>
  </si>
  <si>
    <t>266001 Leave Provision</t>
  </si>
  <si>
    <t>260060 Deputation Costs - Congress</t>
  </si>
  <si>
    <t xml:space="preserve">260140 Materials and Suppliers </t>
  </si>
  <si>
    <t>260300 Catering</t>
  </si>
  <si>
    <t>260452 Water Service Development Plan</t>
  </si>
  <si>
    <t>260690 EPWP</t>
  </si>
  <si>
    <t>260700 Proffessional /Consultant Fees</t>
  </si>
  <si>
    <t>260140 Material Purchases</t>
  </si>
  <si>
    <t>235040 Repairs and Maint Of Landfill Sites</t>
  </si>
  <si>
    <t>270010 Provision for Landfill</t>
  </si>
  <si>
    <t>260025 Free  Basic Electricity</t>
  </si>
  <si>
    <t>235010 Repairs to network - street lights</t>
  </si>
  <si>
    <t>200140 WCC Contribution</t>
  </si>
  <si>
    <t xml:space="preserve">260140 Materials and Suppliers(O and M) </t>
  </si>
  <si>
    <t>260260 Sample Testing</t>
  </si>
  <si>
    <t>260262 Telementary for Water Levels - MSIG</t>
  </si>
  <si>
    <t>260030 Free Basic Charge Water 6KL</t>
  </si>
  <si>
    <t xml:space="preserve"> 260410 Subsistence And Travelling</t>
  </si>
  <si>
    <t>260410 Subsistence and Traveling</t>
  </si>
  <si>
    <t>260420 Accomodation and Meals</t>
  </si>
  <si>
    <t>260630 Sanitation &amp; Water Awareness  Campain</t>
  </si>
  <si>
    <t>260260 Water Quality Management</t>
  </si>
  <si>
    <t>254001 Water Purchases</t>
  </si>
  <si>
    <t>235015 Repairs and Maintenance</t>
  </si>
  <si>
    <t>235010 Repairs and Maintenance to Network</t>
  </si>
  <si>
    <t>235030 Repairs and Maintenance Vehicles</t>
  </si>
  <si>
    <t>235040 Refurbishment of Resevoirs</t>
  </si>
  <si>
    <t>235040 Refurbishment of Bulk Infrastructure</t>
  </si>
  <si>
    <t>235050 Repairs and Maintenance Sanitation</t>
  </si>
  <si>
    <t>235060 Plant Maintenance</t>
  </si>
  <si>
    <t>235020  WWTW:Bulk Infrastructure</t>
  </si>
  <si>
    <t>235030 Vehicles</t>
  </si>
  <si>
    <t>200110 Standby Shift</t>
  </si>
  <si>
    <t>260500 Development of By - Laws</t>
  </si>
  <si>
    <t>260501 Application and Register For Borrow pit</t>
  </si>
  <si>
    <t>260502 Testing Material</t>
  </si>
  <si>
    <t>260503 Development of Sector Plans</t>
  </si>
  <si>
    <t>235140 Routine Main - Roads and Storm Water</t>
  </si>
  <si>
    <t>235145 Purchasing of Stormwater Pipes-Materials</t>
  </si>
  <si>
    <t>235150 Rehabilitation of Borrow pits</t>
  </si>
  <si>
    <t>235155 Maintenance Of Borrow Pits</t>
  </si>
  <si>
    <t>235160 Repairs Of Machinery and Plants</t>
  </si>
  <si>
    <t>235170 Repairs and Registration for Borrow pit</t>
  </si>
  <si>
    <t>260140 Materials and Supply</t>
  </si>
  <si>
    <t>200140  WCC Contributions</t>
  </si>
  <si>
    <t>266001 Leave</t>
  </si>
  <si>
    <t>260130 Motor Vehivle licences</t>
  </si>
  <si>
    <t>260230 Strategic Planning</t>
  </si>
  <si>
    <t>260410 Subsistence And Traveing</t>
  </si>
  <si>
    <t>260500 Policy Development (By -Laws)</t>
  </si>
  <si>
    <t>260630 Team Buildind Activities</t>
  </si>
  <si>
    <t>260640 Employee Wellness</t>
  </si>
  <si>
    <t>260650 Oriantation Programme</t>
  </si>
  <si>
    <t>260660 OHS Programes</t>
  </si>
  <si>
    <t>235140 Hardware Repair &amp; Maintenance</t>
  </si>
  <si>
    <t>235150 IT SLA Maintanence</t>
  </si>
  <si>
    <t>235160 Website Updates-MSIG</t>
  </si>
  <si>
    <t>235170 Website Updates</t>
  </si>
  <si>
    <t>260420 Records Management Upgrade</t>
  </si>
  <si>
    <t>260430 Labour Relation Journal</t>
  </si>
  <si>
    <t>260370 Legal Fees</t>
  </si>
  <si>
    <t>260380 Litigation</t>
  </si>
  <si>
    <t>260371 ICT Upgrage</t>
  </si>
  <si>
    <t>200140 Standby Shift Allowance</t>
  </si>
  <si>
    <t>260030 Membership Fees</t>
  </si>
  <si>
    <t>260300 Refreshmens</t>
  </si>
  <si>
    <t>260420 Relaunching Transport Forum</t>
  </si>
  <si>
    <t>260450 Salga Community Games</t>
  </si>
  <si>
    <t>260440 Security Services</t>
  </si>
  <si>
    <t>260453 Disaster</t>
  </si>
  <si>
    <t>260459 Sports Recreation Arts &amp; Culture</t>
  </si>
  <si>
    <t>260461 HIV/AIDS Strategic and Planning</t>
  </si>
  <si>
    <t>260455 Traffic Officers Uniform</t>
  </si>
  <si>
    <t>260458 HIV/AIDS Activities</t>
  </si>
  <si>
    <t>260459 Sports,Recreation,Arts &amp; Culture program</t>
  </si>
  <si>
    <t>260460 HIV/AIDS Strategy &amp; Planning</t>
  </si>
  <si>
    <t>260462 Transport Forum Activities</t>
  </si>
  <si>
    <t>260463 Disaster</t>
  </si>
  <si>
    <t>260464 Library</t>
  </si>
  <si>
    <t>260462 Conducting Feasibility Study - Surveying</t>
  </si>
  <si>
    <t>260466 Geographical Names</t>
  </si>
  <si>
    <t>260465 Mayor Cup</t>
  </si>
  <si>
    <t>260467 Youth Council</t>
  </si>
  <si>
    <t>260620 Department of Transport Motor Licence Fees</t>
  </si>
  <si>
    <t>260680 Cemetry</t>
  </si>
  <si>
    <t>260527 Woman and Gender Programme</t>
  </si>
  <si>
    <t>260454 Campaign</t>
  </si>
  <si>
    <t>260452 Local Aids Council</t>
  </si>
  <si>
    <t>260456 Elderly Progamme</t>
  </si>
  <si>
    <t>260457 Woman Summit</t>
  </si>
  <si>
    <t>260458 International Womans Day</t>
  </si>
  <si>
    <t>260459 Children Month Celebration</t>
  </si>
  <si>
    <t>260461 Disability Celebration</t>
  </si>
  <si>
    <t>260455 Uniform</t>
  </si>
  <si>
    <t>260460 Emergency Relief Campain</t>
  </si>
  <si>
    <t>260465 Moral Regenaration</t>
  </si>
  <si>
    <t>260470 Mandela International Day</t>
  </si>
  <si>
    <t>260030 Poverty Aliviation</t>
  </si>
  <si>
    <t>200130 Standby / Shift Allowance</t>
  </si>
  <si>
    <t>260410 Subsistence And Traveling</t>
  </si>
  <si>
    <t>260455 Traffic  Officers Uniform</t>
  </si>
  <si>
    <t>235015 Repairs &amp; Maintenance - Builing</t>
  </si>
  <si>
    <t>235110 Office Machine</t>
  </si>
  <si>
    <t xml:space="preserve">260040 Library </t>
  </si>
  <si>
    <t>260050 Cleaning Materials</t>
  </si>
  <si>
    <t>060370 Prepaid Water Sales</t>
  </si>
  <si>
    <t>060191 Septic Tank Blockage</t>
  </si>
  <si>
    <t>260410 Travelling And Subsistence</t>
  </si>
  <si>
    <t>260410 Travelling and Subsistance</t>
  </si>
  <si>
    <t>230002 Depreciation Community Assets</t>
  </si>
  <si>
    <t xml:space="preserve">230003 Depreciation Computer Equipment         </t>
  </si>
  <si>
    <t>230004 Depreciation Furniture ans Fittings</t>
  </si>
  <si>
    <t>230005 Depreciation Office Equipment</t>
  </si>
  <si>
    <t xml:space="preserve">230006 Depreciation Motor Vehicles    </t>
  </si>
  <si>
    <t xml:space="preserve">230007 Depreciation Buildings    </t>
  </si>
  <si>
    <t xml:space="preserve">230011 Depreciation Plant and Machinery   </t>
  </si>
  <si>
    <t>306020 Provision Bad Debts Traffic Fines</t>
  </si>
  <si>
    <t>280030 Medical Actuaries</t>
  </si>
  <si>
    <t>600801 Donation Received</t>
  </si>
  <si>
    <t>260010 Loss on Assets</t>
  </si>
  <si>
    <t>062215 Balance B/F Unappropriated Fund</t>
  </si>
  <si>
    <t>260200 Feasibility Study Cost</t>
  </si>
  <si>
    <t>060161 Outstanding Traffic Fines</t>
  </si>
  <si>
    <t>600000 Water Meters</t>
  </si>
  <si>
    <t>260453 WSDP</t>
  </si>
  <si>
    <t>230001 Depreciation Infrastructure</t>
  </si>
  <si>
    <t>Security Services</t>
  </si>
  <si>
    <t>Jenney Internet</t>
  </si>
  <si>
    <t>Provision for Bonus</t>
  </si>
  <si>
    <t>Provision for Leave</t>
  </si>
  <si>
    <t>Free Basic Electricity</t>
  </si>
  <si>
    <t>Free Basic Water</t>
  </si>
  <si>
    <t>Ward Committee Expenditure</t>
  </si>
  <si>
    <t>EPWP Exp</t>
  </si>
  <si>
    <t>055090 EPWP</t>
  </si>
  <si>
    <t>Revenue Enhancement</t>
  </si>
  <si>
    <t>Data cleansing,Data collection,Indigent identification</t>
  </si>
  <si>
    <t>Credit control</t>
  </si>
  <si>
    <t>To ensure collection of outstanding and projected revenue from other revenue streams</t>
  </si>
  <si>
    <t>Admin purpose</t>
  </si>
  <si>
    <t>Grants for operational purpoaes</t>
  </si>
  <si>
    <t>Debt Management</t>
  </si>
  <si>
    <t>Developmemt of debt management by law</t>
  </si>
  <si>
    <t>Human resource</t>
  </si>
  <si>
    <t>Review Orgonogram to Provide Human Resource required to implement IDP and Budget</t>
  </si>
  <si>
    <t>Capacitaty the existing staff on reporting requirements and compliance</t>
  </si>
  <si>
    <t>Clean Audit</t>
  </si>
  <si>
    <t>Proper record management System</t>
  </si>
  <si>
    <t>To meet the running of the municipality</t>
  </si>
  <si>
    <t>Governanance : proper montoring</t>
  </si>
  <si>
    <t>Monitoring and evaluation of performance as per agreement</t>
  </si>
  <si>
    <t>TRANSFER AND GRANT</t>
  </si>
  <si>
    <t>Operating Expenditure within Municipal GFS</t>
  </si>
  <si>
    <t>avoid irregular/fruitless/wasteful expenditure</t>
  </si>
  <si>
    <t>Corporate</t>
  </si>
  <si>
    <t>To conctruct facilities for communities</t>
  </si>
  <si>
    <t>Roads and transport</t>
  </si>
  <si>
    <t>Construction of roads and pavements for communities</t>
  </si>
  <si>
    <t>Electrification of highmast and streetlights</t>
  </si>
  <si>
    <t>Water distribution</t>
  </si>
  <si>
    <t>Solid waste</t>
  </si>
  <si>
    <t>Sports and recreation</t>
  </si>
  <si>
    <t>OTHER Capital</t>
  </si>
  <si>
    <t>waste management</t>
  </si>
  <si>
    <t>01/01/2010</t>
  </si>
  <si>
    <t>01/01/2011</t>
  </si>
  <si>
    <t>01/07/2010</t>
  </si>
  <si>
    <t>01/07/2011</t>
  </si>
  <si>
    <t>no</t>
  </si>
  <si>
    <t>market</t>
  </si>
  <si>
    <t xml:space="preserve">Residential </t>
  </si>
  <si>
    <t>Agricultural/Residential</t>
  </si>
  <si>
    <t xml:space="preserve">Business and Mines </t>
  </si>
  <si>
    <t xml:space="preserve">Government Building </t>
  </si>
  <si>
    <t>Churches</t>
  </si>
  <si>
    <t>0,006</t>
  </si>
  <si>
    <t>0,0600</t>
  </si>
  <si>
    <t>n/a</t>
  </si>
  <si>
    <t>0,0180</t>
  </si>
  <si>
    <t>0,0055</t>
  </si>
  <si>
    <t>0,0120</t>
  </si>
  <si>
    <t>exempt</t>
  </si>
  <si>
    <t>Rebate Rate between 20% and 100 %</t>
  </si>
  <si>
    <t xml:space="preserve"> Owners over 60yrs, whose household joint income does not exceed R3000, 100% on the value up to R100 000 </t>
  </si>
  <si>
    <t>Residential</t>
  </si>
  <si>
    <t>6kl</t>
  </si>
  <si>
    <t xml:space="preserve">51kl to 100kl </t>
  </si>
  <si>
    <t>Free</t>
  </si>
  <si>
    <t>Residential - Basic Charge</t>
  </si>
  <si>
    <t>Government Buildings</t>
  </si>
  <si>
    <t>Schools</t>
  </si>
  <si>
    <t xml:space="preserve">Churches </t>
  </si>
  <si>
    <t xml:space="preserve">Business - Basic Charge </t>
  </si>
  <si>
    <t>Business</t>
  </si>
  <si>
    <t>Business,industries,mining&amp;government</t>
  </si>
  <si>
    <t>Households</t>
  </si>
  <si>
    <t>Flat rate</t>
  </si>
  <si>
    <t>Residents</t>
  </si>
  <si>
    <t>Water Services Operating Subsidy in Kind</t>
  </si>
  <si>
    <t>INEP</t>
  </si>
  <si>
    <t>060070 Septic Tank Blockage</t>
  </si>
  <si>
    <t>260690 EPWP Expenditure</t>
  </si>
  <si>
    <t xml:space="preserve">260410 Subsistence And Travelling </t>
  </si>
  <si>
    <t>260680 Cemetries</t>
  </si>
  <si>
    <t>600130 Upgrading Kwagga Stadium</t>
  </si>
  <si>
    <t>600135 Storage Reseviour (Bundu Kwamhlanga)</t>
  </si>
  <si>
    <t>600075 Mountain View Bus Route</t>
  </si>
  <si>
    <t>600073 Bus Route Kwaggafontein C</t>
  </si>
  <si>
    <t>307020 Regravelling of Tweefontein A2,A3, and B2(Plant&amp;Machinery)</t>
  </si>
  <si>
    <t>600043 Steel tanks Moloto South</t>
  </si>
  <si>
    <t>600045 Rehab Valves Sun City AA</t>
  </si>
  <si>
    <t>600046 Rehab Valves Kwaggafontein</t>
  </si>
  <si>
    <t>600047 Rehab Valves Moloto South</t>
  </si>
  <si>
    <t>600091 Toilets Moloto North&amp;South</t>
  </si>
  <si>
    <t>600092 VIP Toilets Tweefontein F</t>
  </si>
  <si>
    <t>600093 VIP ToiletsTweefontein H</t>
  </si>
  <si>
    <t>600094 VIP Toilets Thokoza</t>
  </si>
  <si>
    <t>600117 Water Retic Luthuli</t>
  </si>
  <si>
    <t>307099 Refurbish of Streetlights</t>
  </si>
  <si>
    <t>600167 BOREHOLES WARD 32(Doornek)</t>
  </si>
  <si>
    <t>600005 Bus Route Vezubuhle</t>
  </si>
  <si>
    <t>600052 Water Retic Luthuli (Mahlabathini)</t>
  </si>
  <si>
    <t>600121 Bus &amp; Taxi Route Mathyzensloop</t>
  </si>
  <si>
    <t>600122 Bus Route Tweefontein G Bus and Taxi Route</t>
  </si>
  <si>
    <t>600123 Bus Route Kwagga A Bus &amp; Taxi Rute</t>
  </si>
  <si>
    <t>600076 Bus Route Buhlebesizwe</t>
  </si>
  <si>
    <t>600125 Bus Route T/FONTEIN B2</t>
  </si>
  <si>
    <t>600119 Water Retic Mandela/ Msholozi</t>
  </si>
  <si>
    <t>600128 Bus Route Tweefontein E</t>
  </si>
  <si>
    <t>600129 Bus Route Thembalethu</t>
  </si>
  <si>
    <t>600131 Construction of Multi Purpose Centre Moloto North</t>
  </si>
  <si>
    <t>600134 Construction of Multi Purpose Phumula</t>
  </si>
  <si>
    <t>600139 Link Route Luthuli</t>
  </si>
  <si>
    <t>600141 Highmast Lights Zakheni (Ward 4)</t>
  </si>
  <si>
    <t>600146 New Resevior &amp; Pipeline at Kwamhlanga for Phola &amp; Mountain View</t>
  </si>
  <si>
    <t>600147 Upgrading of Kwaggafontein Water Scheme</t>
  </si>
  <si>
    <t>600148 Drilling &amp; Equipping of Boreholes in B/Hoek</t>
  </si>
  <si>
    <t>600150 Water Retic Vlaklaagte1(Mabhoko)</t>
  </si>
  <si>
    <t>600151 Replacement of Asbestos pipes and Refurbishment of Val</t>
  </si>
  <si>
    <t>600152 Bus and Taxi Route Suncity AA (Ward 20)</t>
  </si>
  <si>
    <t>600153 Completion of Bus Route Suncity B (Ward 19)</t>
  </si>
  <si>
    <t>600154 Street Lights-Langkloof</t>
  </si>
  <si>
    <t>600155  Highmastlights Verena(A,B,C,D)</t>
  </si>
  <si>
    <t>600156 Water Reticulation Zakheni Extention</t>
  </si>
  <si>
    <t>600157 Boreholes Farm Ward 10</t>
  </si>
  <si>
    <t>600158 Boreholes Farm Ward 08(Rietfontein&amp;Dornek)</t>
  </si>
  <si>
    <t>600159 Extraction of Raw Water at Loskop Dam(designs)</t>
  </si>
  <si>
    <t>600161 Higmastlights  Kwamhlanga (Bankview)</t>
  </si>
  <si>
    <t>600162 Installation of Boreholes Ward 31(Matselapata)</t>
  </si>
  <si>
    <t>600164 Water Retic Vlaklaagte No2</t>
  </si>
  <si>
    <t>600165 Water Retic Miliva Next to RDP</t>
  </si>
  <si>
    <t>600163 Water Retic Mandela EXT</t>
  </si>
  <si>
    <t>600166 Water Retic Suncity D</t>
  </si>
  <si>
    <t>600110 Water Retic Thokoza</t>
  </si>
  <si>
    <t>600019 Water Retic Phola Park(Quik win)</t>
  </si>
  <si>
    <t>600168 Installation of Boreholes Ward 11</t>
  </si>
  <si>
    <t>600109 Water Retic Bekenhouthoek</t>
  </si>
  <si>
    <t>600138 Bus and Taxi route Thokoza</t>
  </si>
  <si>
    <t>600140 Highmast Lighting Suncity AA</t>
  </si>
  <si>
    <t>600142 Highmast Lighting Tweefontein N Ward 17</t>
  </si>
  <si>
    <t>600083 Highmast Lighting Vezubuhle</t>
  </si>
  <si>
    <t>600144 Highmast Lighting Phumula B1 and D</t>
  </si>
  <si>
    <t>600143 Highmast Lighting Malekelekeni Ward 21</t>
  </si>
  <si>
    <t>600098 Highmast Lighting Moloto North(Cluster 1A)</t>
  </si>
  <si>
    <t>600006 Highmast Lights Moloto South(Cluster 1A)</t>
  </si>
  <si>
    <t>600124 Highmast Lights Mandela Extension</t>
  </si>
  <si>
    <t>600108 Highmast Lights Suncity C</t>
  </si>
  <si>
    <t>600100 Highmast Lights Thembalethu</t>
  </si>
  <si>
    <t>600102 Highmast Lights Muzimuhle</t>
  </si>
  <si>
    <t>600101 Highmast Lights Zenzele</t>
  </si>
  <si>
    <t>600038 Street Lights Moloto Clinic</t>
  </si>
  <si>
    <t>600133Luthuli WWTW</t>
  </si>
  <si>
    <t>307021Capital expenditure - Municipal Vote</t>
  </si>
  <si>
    <t>307010 Arms and Ammunition</t>
  </si>
  <si>
    <t>307020 Office Furniture</t>
  </si>
  <si>
    <t>307015 Computer Equipment</t>
  </si>
  <si>
    <t>307120 Meter Reading Machine</t>
  </si>
  <si>
    <t>307020 Office Furniture-FMG</t>
  </si>
  <si>
    <t>307010 Asset Verification Hand MSIG</t>
  </si>
  <si>
    <t>307015 Steel Filling Cabinet</t>
  </si>
  <si>
    <t>Equitable Share</t>
  </si>
  <si>
    <t>FMG</t>
  </si>
  <si>
    <t>MSIG</t>
  </si>
  <si>
    <t>MIG</t>
  </si>
  <si>
    <t>EPWP and Water Operating Subsidy</t>
  </si>
  <si>
    <t>307010 Computer Hardware</t>
  </si>
  <si>
    <t xml:space="preserve">          Year end Accrual Provision</t>
  </si>
  <si>
    <t>235050 Repairs and Maitenance Sanitation</t>
  </si>
  <si>
    <t>260466 Landfill</t>
  </si>
  <si>
    <t>Provision for Bad Debts-Traffic</t>
  </si>
  <si>
    <t xml:space="preserve">600132 Upgrading of WWTW Tweefontein K </t>
  </si>
  <si>
    <t>600034 Street lights Buhlebesizwe</t>
  </si>
  <si>
    <t>600037 Street lights Kwamhlanga</t>
  </si>
  <si>
    <t>600169 Street lights Mathyzansloop</t>
  </si>
  <si>
    <t>600170 Street lights Kwaggafontein</t>
  </si>
  <si>
    <t>600171 Street lights Vezubuhle</t>
  </si>
  <si>
    <t>600172 Street lights  Thokoza T Junction R573</t>
  </si>
  <si>
    <t>600174 Street lights Sokapo &amp; Emafesi along R573 Moloto Rd</t>
  </si>
  <si>
    <t>600173 Street lights Cashbuild Turnoff along R573</t>
  </si>
  <si>
    <t>600175 Street lights Vlaaglagte NO1 (T junction) along R573 Moloto Rd</t>
  </si>
  <si>
    <t>600176 Street lights New police station After T-junction Along R573 Moloto Rd</t>
  </si>
  <si>
    <t>600177 Street lights in CRDP Wards (Verena and Wolvenkop)</t>
  </si>
  <si>
    <t>600178 Highmast Kwaggafontein E</t>
  </si>
  <si>
    <t>600179 Highmast Phumula Cluster</t>
  </si>
  <si>
    <t>600180 Instalation of flow control at reserviors from Borehole water supply</t>
  </si>
  <si>
    <t>600181 Moloto Pressure Management Areas for Moloto from boreholes supply</t>
  </si>
  <si>
    <t>600182 Incorporate kwaMhlanga Crossroads and part of Zakheni and Phola Park into kwaMhlanga reservior zones</t>
  </si>
  <si>
    <t>600183 Boreholes Moloto WARD 1,2 and 3</t>
  </si>
  <si>
    <t>600184 Boreholes Mountain View Ward 14</t>
  </si>
  <si>
    <t>600185 Boreholes Engwenyameni Luthuli Ward 19 &amp;22</t>
  </si>
  <si>
    <t>600186 Boreholes Langkloof Ward 08</t>
  </si>
  <si>
    <t>600187 Boreholes Wolvenkop Ward 11</t>
  </si>
  <si>
    <t>600188 Boreholes  Verena D Ward 11</t>
  </si>
  <si>
    <t>600189 Boreholes  Verena B Ward 11</t>
  </si>
  <si>
    <t>600190 Boreholes  Verena A &amp;D Ward 08</t>
  </si>
  <si>
    <t>600191 Boreholes Tweefontein J WARD 09</t>
  </si>
  <si>
    <t>600192 Boreholes Buhlebuzile and Zenzele WARD 09</t>
  </si>
  <si>
    <t>600193 Boreholes Machipe WARD 24</t>
  </si>
  <si>
    <t>600194 Boreholes Bhundu WARD 24</t>
  </si>
  <si>
    <t>600195 Boreholes Mathysensloop WARD 07</t>
  </si>
  <si>
    <t>600196 Boreholes Kwaggafontein A WARD 27</t>
  </si>
  <si>
    <t>600197 Boreholes Kwaggafontein C WARD 26</t>
  </si>
  <si>
    <t>600198 Boreholes Kwaggafontein  WARD 25</t>
  </si>
  <si>
    <t>600199 Boreholes Tweefontein DK WARD 12</t>
  </si>
  <si>
    <t>600200 Boreholes Suncity A WARD 19</t>
  </si>
  <si>
    <t>600201 Boreholes Luthuli WARD 22 next to cemetery</t>
  </si>
  <si>
    <t>600202 Upgrading of existing infrastructure from agricultural project to augment borehole water supply Bundu</t>
  </si>
  <si>
    <t>600160 Water Reticulation Tweefontein K( Larry Mamabolo)</t>
  </si>
  <si>
    <t>Access to water for all communities with THLM, Water reticulation</t>
  </si>
  <si>
    <t>Boreholes</t>
  </si>
  <si>
    <t>Computers</t>
  </si>
  <si>
    <t>Electrification-Inep</t>
  </si>
  <si>
    <t>Technical Services</t>
  </si>
  <si>
    <t>Installation of taps within households</t>
  </si>
  <si>
    <t>Construction of Boreholes</t>
  </si>
  <si>
    <t>Water Scheme Upgrade</t>
  </si>
  <si>
    <t>Design Drawing for Etraction of Water</t>
  </si>
  <si>
    <t>Replacement of pipes and valves</t>
  </si>
  <si>
    <t>Acces of water to communities</t>
  </si>
  <si>
    <t>Waste Water Management</t>
  </si>
  <si>
    <t>WWWTW Upgarde</t>
  </si>
  <si>
    <t>Solod Waste</t>
  </si>
  <si>
    <t>Build facilities to cater for the needs of community</t>
  </si>
  <si>
    <t>Electricity Services</t>
  </si>
  <si>
    <t>Installation of lights</t>
  </si>
  <si>
    <t>Provide area lighting for specific areas</t>
  </si>
  <si>
    <t>Number of Boreholes</t>
  </si>
  <si>
    <t>Extraction of raw water</t>
  </si>
  <si>
    <t>Percentage of asbestos</t>
  </si>
  <si>
    <t>Number of households provided with access to basic water</t>
  </si>
  <si>
    <t>Number of WWWTW upgraded</t>
  </si>
  <si>
    <t>Number of households provided with access to refuse removal</t>
  </si>
  <si>
    <t>Number of new multipurpose centres constructed</t>
  </si>
  <si>
    <t>Number of Streetlights</t>
  </si>
  <si>
    <t>105 Technical Services</t>
  </si>
  <si>
    <t>Number of Households connected to tap water</t>
  </si>
  <si>
    <t>Number of Highmast</t>
  </si>
  <si>
    <t>Installation of Valves</t>
  </si>
  <si>
    <t>Number of valves installed</t>
  </si>
  <si>
    <t>LED</t>
  </si>
  <si>
    <t>Economic development</t>
  </si>
  <si>
    <t>Number of jobs created through EPWP</t>
  </si>
  <si>
    <t>Public Participation</t>
  </si>
  <si>
    <t>Number of newsletter produced</t>
  </si>
  <si>
    <t>Public Office</t>
  </si>
  <si>
    <t>Ward 20</t>
  </si>
  <si>
    <t>New</t>
  </si>
  <si>
    <t xml:space="preserve">           Capital Assets</t>
  </si>
  <si>
    <t>Ward 4</t>
  </si>
  <si>
    <t>Ward 17</t>
  </si>
  <si>
    <t>Ward 1,2 and 3</t>
  </si>
  <si>
    <t>Ward 14</t>
  </si>
  <si>
    <t>Ward 19&amp;22</t>
  </si>
  <si>
    <t>Ward 08</t>
  </si>
  <si>
    <t>Ward 11 Wolvenkop</t>
  </si>
  <si>
    <t>Ward 11 Verena D</t>
  </si>
  <si>
    <t>Ward 11 Verena B</t>
  </si>
  <si>
    <t>ward 09 Tweefontein</t>
  </si>
  <si>
    <t>600039 Street lights Mathyzansloop</t>
  </si>
  <si>
    <t>600035 Street lights Kwaggafontein</t>
  </si>
  <si>
    <t>600036 Street lights Vezubuhle</t>
  </si>
  <si>
    <t>600042 Street lights  Thokoza T Junction R573</t>
  </si>
  <si>
    <t>600007 Street lights Cashbuild Turnoff along R573</t>
  </si>
  <si>
    <t>600008 Street lights Sokapo &amp; Emafesi along R573 Moloto Rd</t>
  </si>
  <si>
    <t>600009 Street lights Vlaaglagte NO1 (T junction) along R573 Moloto Rd</t>
  </si>
  <si>
    <t>600011 Street lights in CRDP Wards (Verena and Wolvenkop)</t>
  </si>
  <si>
    <t>600023 Street lights New police station After T-junction Along R573 Moloto Rd</t>
  </si>
  <si>
    <t>600107 Highmast Phumula Cluster</t>
  </si>
  <si>
    <t xml:space="preserve"> Infrastructure Assets</t>
  </si>
  <si>
    <t>www.thembisilehanilm.gov.za</t>
  </si>
  <si>
    <t xml:space="preserve">Stand No 24 </t>
  </si>
  <si>
    <t>Alongside Moloto Road R573</t>
  </si>
  <si>
    <t>Kwaggafontein</t>
  </si>
  <si>
    <t>MahlanguN@thembisilehanilm.gov.za</t>
  </si>
  <si>
    <t>MthombeniH@thembisilehanilm.gov.za</t>
  </si>
  <si>
    <t>NkosiO@thembisilehanilm.gov.za</t>
  </si>
  <si>
    <t>MasilelaG@thembisilehanilm.gov.za</t>
  </si>
  <si>
    <t>MahlanguP@thembisilehanilm.gov.za</t>
  </si>
  <si>
    <t>MoyoJ@thembisilehanilm.gov.za</t>
  </si>
  <si>
    <t>MashaoB@thembisilehanilm.gov.za</t>
  </si>
  <si>
    <t>WrightS@thembisilehanilm.gov.za</t>
  </si>
  <si>
    <t>ON NKOSI (Acting MM)</t>
  </si>
  <si>
    <t>307016 Electrification Grant</t>
  </si>
  <si>
    <t>Corporate Manager</t>
  </si>
  <si>
    <t>Technical Service Manager</t>
  </si>
  <si>
    <t>SDS Manager</t>
  </si>
  <si>
    <t>25 ̊ 20' 42.4"S: 28 ̊ 51' 49" E</t>
  </si>
  <si>
    <t>25 ̊ 22' 35.2"S: 28 ̊ 43' 9.4" E</t>
  </si>
  <si>
    <t>25 ̊ 27' 3.4"S: 28 ̊ 43' 32.8" E</t>
  </si>
  <si>
    <t>25 ̊ 24' 5.6"S: 28 ̊ 43' 17.9" E</t>
  </si>
  <si>
    <t>25 ̊ 17' 14.6"S: 28 ̊ 59' 37.7" E</t>
  </si>
  <si>
    <t>25 ̊ 19' 50.4"S: 28 ̊ 54' 20.7" E</t>
  </si>
  <si>
    <t>25 ̊ 22' 34.3"S: 28 ̊ 52' 5.1" E</t>
  </si>
  <si>
    <t>25 ̊ 23' 5.3"S: 28 ̊ 42' 56.6" E</t>
  </si>
  <si>
    <t>25 ̊ 24' 14.9"S: 28 ̊ 42' 47.9" E</t>
  </si>
  <si>
    <t>25 ̊ 23' 55.7"S: 28 ̊ 44' 23.1" E</t>
  </si>
  <si>
    <t>25 ̊ 23' 46.6"S: 28 ̊ 46' 31.9" E</t>
  </si>
  <si>
    <t>25 ̊ 24' 42.7"S: 28 ̊ 46' 38.5" E</t>
  </si>
  <si>
    <t>25 ̊ 20' 21.5"S: 28 ̊ 52' 2.1" E</t>
  </si>
  <si>
    <t>25 ̊ 27' 9.6"S: 28 ̊ 38' 9.7" E</t>
  </si>
  <si>
    <t>25 ̊ 27' 32.6"S: 28 ̊ 38' 6.6" E</t>
  </si>
  <si>
    <t>25 ̊ 27' 32.6"S: 28 ̊ 42' 39.7" E</t>
  </si>
  <si>
    <t>25 ̊ 24' 23.9"S: 28 ̊ 46' 42.1" E</t>
  </si>
  <si>
    <t>25 ̊ 25' 38.4"S: 28 ̊ 47' 10.3" E</t>
  </si>
  <si>
    <t>25 ̊ 21' 42.8"S: 28 ̊ 56' 15.7" E</t>
  </si>
  <si>
    <t>25  ̊28' 51.8" S: 28  ̊38' 53.2" E</t>
  </si>
  <si>
    <t>25  ̊25' 43.1" S: 28  ̊44' 48.2" E</t>
  </si>
  <si>
    <t>25  ̊22' 49.2" S: 28  ̊43' 27.8" E</t>
  </si>
  <si>
    <t>25  ̊31' 20.4" S: 28  ̊05' 38.9" E</t>
  </si>
  <si>
    <t>25  ̊31' 21.8" S: 28  ̊59' 29.8" E</t>
  </si>
  <si>
    <t>25  ̊28' 17.9" S: 28  ̊02' 7.8" E</t>
  </si>
  <si>
    <t>25  ̊28' 30.4" S: 28  ̊00' 45.5" E</t>
  </si>
  <si>
    <t>25  ̊28' 53.2" S: 28  ̊01' 27.1" E</t>
  </si>
  <si>
    <t>25  ̊24' 94.1" S: 28  ̊47' 98.5" E</t>
  </si>
  <si>
    <t>25  ̊26' 04" S: 28  ̊46' 40" E</t>
  </si>
  <si>
    <t>25  ̊17' 27.6" S: 28  ̊04' 40.1" E</t>
  </si>
  <si>
    <t>25̊  18' 27.9" S: 28  ̊03' 56.6" E</t>
  </si>
  <si>
    <t>25 ̊ 16' 52.4" S: 28  ̊59' 25.5" E</t>
  </si>
  <si>
    <t>25  ̊17' 88" S: 28  ̊57' 50" E</t>
  </si>
  <si>
    <t>25  ̊18' 79" S: 28  ̊56' 81.6" E</t>
  </si>
  <si>
    <t>25  ̊18' 88" S: 28  ̊56'47" E</t>
  </si>
  <si>
    <t>25  ̊21' 7.3" S: 28  ̊51' 31.6" E</t>
  </si>
  <si>
    <t>25  ̊23' 55.7" S: 28  ̊44' 23.1" E</t>
  </si>
  <si>
    <t>25  ̊22' 35.2" S: 28  ̊43' 9.4" E</t>
  </si>
  <si>
    <t>25 ̊ 27' 29.1"S: 28 ̊ 38' 26.1" E</t>
  </si>
  <si>
    <t>25 ̊ 23' 32.7"S: 28 ̊ 50' 47.3" E</t>
  </si>
  <si>
    <t>25 ̊ 26' 43.3"S: 28  ̊ 42' 48.3" E</t>
  </si>
  <si>
    <t>25 ̊ 17' 7.3"S: 28  ̊ 59' 28.3" E</t>
  </si>
  <si>
    <t>25 ̊ 18' 38.9"S: 28  ̊ 56' 28.1" E</t>
  </si>
  <si>
    <t>25 ̊ 23.6' 43.6"S: 28  ̊ 46' 31.9" E</t>
  </si>
  <si>
    <t>25 ̊ 23' 51.8"S: 28  ̊ 47' 25.1" E</t>
  </si>
  <si>
    <t>25 ̊ 23' 47.1"S: 28  ̊ 47' 42" E</t>
  </si>
  <si>
    <t>25 ̊ 18' 00"S: 28  ̊ 57' 22" E</t>
  </si>
  <si>
    <t>25 ̊ 21' 56.6"S: 28  ̊ 51' 50.8" E</t>
  </si>
  <si>
    <t>25 ̊ 23' 33.9"S: 28  ̊ 48' 28.6" E</t>
  </si>
  <si>
    <t>25 ̊ 29' 12.6"S: 28  ̊ 01' 31.9" E</t>
  </si>
  <si>
    <t>25 ̊ 24' 4.7"S: 28  ̊ 46' 3.8" E</t>
  </si>
  <si>
    <t>25 ̊ 27' 15.7"S: 28  ̊ 38' 18.8" 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</si>
</sst>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43" formatCode="_ * #,##0.00_ ;_ * \-#,##0.00_ ;_ * &quot;-&quot;??_ ;_ @_ "/>
    <numFmt numFmtId="164" formatCode="_ * #,##0_ ;_ * \-#,##0_ ;_ * &quot;-&quot;??_ ;_ @_ "/>
    <numFmt numFmtId="165" formatCode="_ * #,##0.0_ ;_ * \-#,##0.0_ ;_ * &quot;-&quot;??_ ;_ @_ "/>
    <numFmt numFmtId="166" formatCode="#,###,;[Red]\(#,###,\)"/>
    <numFmt numFmtId="167" formatCode="0.0%"/>
    <numFmt numFmtId="168" formatCode="#,###,;\(#,###,\)"/>
    <numFmt numFmtId="169" formatCode="#,###,,;\(#,###,,\)"/>
    <numFmt numFmtId="170" formatCode="0.0%;[Red]\(0.0%\)"/>
    <numFmt numFmtId="171" formatCode="0.0"/>
    <numFmt numFmtId="172" formatCode="#,##0,;[Red]\(#,##0,\)"/>
    <numFmt numFmtId="173" formatCode="_(* #,##0,,_);_(* \(#,##0,,\);_(* &quot;–&quot;?_);_(@_)"/>
    <numFmt numFmtId="174" formatCode="_(* #,##0,_);_(* \(#,##0,\);_(* &quot;–&quot;?_);_(@_)"/>
    <numFmt numFmtId="175" formatCode="_(* #,##0_);_(* \(#,##0\);_(* &quot;–&quot;?_);_(@_)"/>
    <numFmt numFmtId="176" formatCode="_(* #,##0.0_);_(* \(#,##0.0\);_(* &quot;–&quot;?_);_(@_)"/>
    <numFmt numFmtId="177" formatCode="_(* #,##0.000000_);_(* \(#,##0.000000\);_(* &quot;–&quot;?_);_(@_)"/>
    <numFmt numFmtId="178" formatCode="_(* #,##0.00_);_(* \(#,##0.00\);_(* &quot;–&quot;?_);_(@_)"/>
    <numFmt numFmtId="179" formatCode="_(* #,##0.0%_);_(* \(#,##0.0%\);_(* &quot;–&quot;?_);_(@_)"/>
    <numFmt numFmtId="180" formatCode="[$-1C09]dd\ mmmm\ yyyy"/>
    <numFmt numFmtId="181" formatCode="0000"/>
    <numFmt numFmtId="182" formatCode="_ * #,##0.0000_ ;_ * \-#,##0.0000_ ;_ * &quot;-&quot;??_ ;_ @_ "/>
  </numFmts>
  <fonts count="49" x14ac:knownFonts="1">
    <font>
      <sz val="10"/>
      <name val="Arial"/>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i/>
      <sz val="8"/>
      <color indexed="10"/>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0"/>
      <color rgb="FF000000"/>
      <name val="Arial"/>
      <family val="2"/>
    </font>
  </fonts>
  <fills count="2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43"/>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rgb="FFF8F696"/>
        <bgColor indexed="64"/>
      </patternFill>
    </fill>
  </fills>
  <borders count="13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3" fillId="0" borderId="0" applyNumberFormat="0" applyFont="0" applyFill="0" applyBorder="0" applyAlignment="0" applyProtection="0">
      <alignment vertical="top"/>
      <protection locked="0"/>
    </xf>
    <xf numFmtId="0" fontId="24" fillId="0" borderId="0"/>
    <xf numFmtId="9" fontId="1" fillId="0" borderId="0" applyFont="0" applyFill="0" applyBorder="0" applyAlignment="0" applyProtection="0"/>
    <xf numFmtId="9" fontId="28" fillId="0" borderId="0" applyFont="0" applyFill="0" applyBorder="0" applyAlignment="0" applyProtection="0"/>
  </cellStyleXfs>
  <cellXfs count="2880">
    <xf numFmtId="0" fontId="0" fillId="0" borderId="0" xfId="0"/>
    <xf numFmtId="0" fontId="4" fillId="0" borderId="0" xfId="0" applyFont="1"/>
    <xf numFmtId="0" fontId="2" fillId="0" borderId="0" xfId="0" applyFont="1"/>
    <xf numFmtId="0" fontId="5" fillId="0" borderId="0" xfId="0" applyFont="1"/>
    <xf numFmtId="0" fontId="2" fillId="0" borderId="1" xfId="0" applyFont="1" applyBorder="1" applyAlignment="1">
      <alignment horizontal="center"/>
    </xf>
    <xf numFmtId="0" fontId="2" fillId="0" borderId="0" xfId="0" applyFont="1" applyBorder="1" applyAlignment="1">
      <alignment horizontal="center"/>
    </xf>
    <xf numFmtId="0" fontId="2" fillId="0" borderId="0" xfId="0" applyFont="1" applyBorder="1"/>
    <xf numFmtId="9" fontId="5" fillId="0" borderId="2" xfId="6" applyFont="1" applyBorder="1" applyAlignment="1">
      <alignment horizontal="center"/>
    </xf>
    <xf numFmtId="0" fontId="5" fillId="0" borderId="2" xfId="0" applyFont="1" applyBorder="1"/>
    <xf numFmtId="0" fontId="2" fillId="0" borderId="0" xfId="0" applyFont="1" applyAlignment="1">
      <alignment horizontal="center"/>
    </xf>
    <xf numFmtId="0" fontId="2" fillId="0" borderId="3" xfId="0" applyFont="1" applyBorder="1"/>
    <xf numFmtId="0" fontId="2" fillId="0" borderId="4" xfId="0" applyFont="1" applyBorder="1"/>
    <xf numFmtId="0" fontId="5" fillId="0" borderId="1" xfId="0" applyFont="1" applyBorder="1" applyAlignment="1">
      <alignment horizontal="center"/>
    </xf>
    <xf numFmtId="0" fontId="2" fillId="0" borderId="1" xfId="0" applyFont="1" applyBorder="1"/>
    <xf numFmtId="0" fontId="2" fillId="0" borderId="5" xfId="0" applyFont="1" applyBorder="1"/>
    <xf numFmtId="0" fontId="5" fillId="0" borderId="1"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2" borderId="1"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6" xfId="0" applyFont="1" applyFill="1" applyBorder="1" applyAlignment="1">
      <alignment horizontal="center" vertical="top" wrapText="1"/>
    </xf>
    <xf numFmtId="0" fontId="4"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0" borderId="1" xfId="0" applyFont="1" applyBorder="1" applyAlignment="1">
      <alignment horizontal="left"/>
    </xf>
    <xf numFmtId="0" fontId="5" fillId="0" borderId="5" xfId="0" applyFont="1" applyBorder="1" applyAlignment="1">
      <alignment horizontal="center"/>
    </xf>
    <xf numFmtId="0" fontId="5" fillId="2" borderId="0" xfId="0" applyFont="1" applyFill="1" applyBorder="1" applyAlignment="1">
      <alignment horizontal="center" vertical="center" wrapText="1"/>
    </xf>
    <xf numFmtId="0" fontId="5" fillId="2" borderId="17" xfId="0" applyFont="1" applyFill="1" applyBorder="1" applyAlignment="1">
      <alignment horizontal="center"/>
    </xf>
    <xf numFmtId="0" fontId="2" fillId="3" borderId="12" xfId="0" applyFont="1" applyFill="1" applyBorder="1" applyAlignment="1">
      <alignment horizontal="left"/>
    </xf>
    <xf numFmtId="0" fontId="2" fillId="3" borderId="6" xfId="0" applyFont="1" applyFill="1" applyBorder="1"/>
    <xf numFmtId="0" fontId="2" fillId="3" borderId="7" xfId="0" applyFont="1" applyFill="1" applyBorder="1"/>
    <xf numFmtId="0" fontId="2" fillId="3" borderId="3" xfId="0" applyFont="1" applyFill="1" applyBorder="1" applyAlignment="1">
      <alignment horizontal="left"/>
    </xf>
    <xf numFmtId="0" fontId="2" fillId="3" borderId="0" xfId="0" applyFont="1" applyFill="1" applyBorder="1"/>
    <xf numFmtId="0" fontId="2" fillId="3" borderId="8" xfId="0" applyFont="1" applyFill="1" applyBorder="1"/>
    <xf numFmtId="0" fontId="5" fillId="4" borderId="2" xfId="0" applyFont="1" applyFill="1" applyBorder="1" applyAlignment="1">
      <alignment horizontal="center"/>
    </xf>
    <xf numFmtId="0" fontId="5" fillId="5" borderId="2" xfId="0" applyFont="1" applyFill="1" applyBorder="1" applyAlignment="1">
      <alignment horizontal="center"/>
    </xf>
    <xf numFmtId="0" fontId="2" fillId="3" borderId="6" xfId="0" applyFont="1" applyFill="1" applyBorder="1" applyAlignment="1">
      <alignment horizontal="center"/>
    </xf>
    <xf numFmtId="0" fontId="2" fillId="3" borderId="0" xfId="0" applyFont="1" applyFill="1" applyBorder="1" applyAlignment="1">
      <alignment horizontal="center"/>
    </xf>
    <xf numFmtId="0" fontId="5" fillId="0" borderId="0" xfId="0" applyFont="1" applyAlignment="1">
      <alignment horizontal="right"/>
    </xf>
    <xf numFmtId="9" fontId="2" fillId="0" borderId="1" xfId="6" applyFont="1" applyBorder="1" applyAlignment="1">
      <alignment horizontal="center"/>
    </xf>
    <xf numFmtId="9" fontId="2" fillId="0" borderId="5" xfId="6" applyFont="1" applyBorder="1" applyAlignment="1">
      <alignment horizontal="center"/>
    </xf>
    <xf numFmtId="0" fontId="2" fillId="0" borderId="12" xfId="0" applyFont="1" applyBorder="1"/>
    <xf numFmtId="9" fontId="2" fillId="0" borderId="11" xfId="6" applyFont="1" applyBorder="1" applyAlignment="1">
      <alignment horizontal="center"/>
    </xf>
    <xf numFmtId="167" fontId="2" fillId="0" borderId="1" xfId="6" applyNumberFormat="1" applyFont="1" applyBorder="1" applyAlignment="1">
      <alignment horizontal="center"/>
    </xf>
    <xf numFmtId="167" fontId="2" fillId="0" borderId="5" xfId="6" applyNumberFormat="1" applyFont="1" applyBorder="1" applyAlignment="1">
      <alignment horizontal="center"/>
    </xf>
    <xf numFmtId="10" fontId="2" fillId="0" borderId="1" xfId="6" applyNumberFormat="1" applyFont="1" applyBorder="1" applyAlignment="1">
      <alignment horizontal="center"/>
    </xf>
    <xf numFmtId="9" fontId="5" fillId="0" borderId="2" xfId="0" applyNumberFormat="1" applyFont="1" applyBorder="1" applyAlignment="1">
      <alignment horizontal="center"/>
    </xf>
    <xf numFmtId="43" fontId="2" fillId="0" borderId="1" xfId="1" applyFont="1" applyBorder="1" applyAlignment="1">
      <alignment horizontal="center"/>
    </xf>
    <xf numFmtId="0" fontId="5" fillId="2" borderId="1" xfId="0" applyFont="1" applyFill="1" applyBorder="1" applyAlignment="1">
      <alignment horizontal="center" vertical="center"/>
    </xf>
    <xf numFmtId="1" fontId="5" fillId="0" borderId="2" xfId="0" applyNumberFormat="1" applyFont="1" applyBorder="1" applyAlignment="1">
      <alignment horizontal="center"/>
    </xf>
    <xf numFmtId="43" fontId="5"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5" xfId="0" applyNumberFormat="1" applyFont="1" applyBorder="1" applyAlignment="1">
      <alignment horizontal="center"/>
    </xf>
    <xf numFmtId="2" fontId="2" fillId="0" borderId="11" xfId="0" applyNumberFormat="1" applyFont="1" applyBorder="1" applyAlignment="1">
      <alignment horizontal="center"/>
    </xf>
    <xf numFmtId="9" fontId="5" fillId="0" borderId="2" xfId="6" applyNumberFormat="1" applyFont="1" applyBorder="1" applyAlignment="1">
      <alignment horizontal="center"/>
    </xf>
    <xf numFmtId="0" fontId="2" fillId="0" borderId="2" xfId="0" applyFont="1" applyBorder="1"/>
    <xf numFmtId="0" fontId="5" fillId="0" borderId="1" xfId="0" applyFont="1" applyBorder="1" applyAlignment="1">
      <alignment horizontal="left" indent="1"/>
    </xf>
    <xf numFmtId="0" fontId="2" fillId="0" borderId="1" xfId="0" applyFont="1" applyBorder="1" applyAlignment="1">
      <alignment horizontal="left" indent="2"/>
    </xf>
    <xf numFmtId="0" fontId="2" fillId="0" borderId="1" xfId="0" applyFont="1" applyBorder="1" applyAlignment="1">
      <alignment horizontal="left" indent="3"/>
    </xf>
    <xf numFmtId="172" fontId="2" fillId="0" borderId="11" xfId="0" applyNumberFormat="1" applyFont="1" applyBorder="1"/>
    <xf numFmtId="172" fontId="2" fillId="0" borderId="12" xfId="0" applyNumberFormat="1" applyFont="1" applyBorder="1"/>
    <xf numFmtId="172" fontId="2" fillId="0" borderId="18" xfId="0" applyNumberFormat="1" applyFont="1" applyBorder="1"/>
    <xf numFmtId="172" fontId="2" fillId="0" borderId="19" xfId="0" applyNumberFormat="1" applyFont="1" applyBorder="1"/>
    <xf numFmtId="172" fontId="2" fillId="0" borderId="1" xfId="0" applyNumberFormat="1" applyFont="1" applyBorder="1"/>
    <xf numFmtId="172" fontId="2" fillId="0" borderId="3" xfId="0" applyNumberFormat="1" applyFont="1" applyBorder="1"/>
    <xf numFmtId="172" fontId="2" fillId="0" borderId="13" xfId="0" applyNumberFormat="1" applyFont="1" applyBorder="1"/>
    <xf numFmtId="172" fontId="2" fillId="0" borderId="14" xfId="0" applyNumberFormat="1" applyFont="1" applyBorder="1"/>
    <xf numFmtId="172" fontId="5" fillId="0" borderId="1" xfId="0" applyNumberFormat="1" applyFont="1" applyBorder="1"/>
    <xf numFmtId="172" fontId="5" fillId="0" borderId="3" xfId="0" applyNumberFormat="1" applyFont="1" applyBorder="1"/>
    <xf numFmtId="172" fontId="5" fillId="0" borderId="13" xfId="0" applyNumberFormat="1" applyFont="1" applyBorder="1"/>
    <xf numFmtId="172" fontId="5" fillId="0" borderId="14" xfId="0" applyNumberFormat="1" applyFont="1" applyBorder="1"/>
    <xf numFmtId="172" fontId="2" fillId="0" borderId="20" xfId="0" applyNumberFormat="1" applyFont="1" applyBorder="1"/>
    <xf numFmtId="172" fontId="2" fillId="0" borderId="21" xfId="0" applyNumberFormat="1" applyFont="1" applyBorder="1"/>
    <xf numFmtId="172" fontId="2" fillId="0" borderId="22" xfId="0" applyNumberFormat="1" applyFont="1" applyBorder="1"/>
    <xf numFmtId="172" fontId="2" fillId="0" borderId="23" xfId="0" applyNumberFormat="1" applyFont="1" applyBorder="1"/>
    <xf numFmtId="172" fontId="2" fillId="0" borderId="24" xfId="0" applyNumberFormat="1" applyFont="1" applyBorder="1"/>
    <xf numFmtId="172" fontId="2" fillId="0" borderId="25" xfId="0" applyNumberFormat="1" applyFont="1" applyBorder="1"/>
    <xf numFmtId="172" fontId="2" fillId="0" borderId="26" xfId="0" applyNumberFormat="1" applyFont="1" applyBorder="1"/>
    <xf numFmtId="172" fontId="2" fillId="0" borderId="27" xfId="0" applyNumberFormat="1" applyFont="1" applyBorder="1"/>
    <xf numFmtId="172" fontId="5" fillId="0" borderId="2" xfId="0" applyNumberFormat="1" applyFont="1" applyBorder="1"/>
    <xf numFmtId="172" fontId="5" fillId="0" borderId="17" xfId="0" applyNumberFormat="1" applyFont="1" applyBorder="1"/>
    <xf numFmtId="172" fontId="5" fillId="0" borderId="28" xfId="0" applyNumberFormat="1" applyFont="1" applyBorder="1"/>
    <xf numFmtId="172" fontId="5" fillId="0" borderId="29" xfId="0" applyNumberFormat="1" applyFont="1" applyBorder="1"/>
    <xf numFmtId="172" fontId="2" fillId="0" borderId="5" xfId="0" applyNumberFormat="1" applyFont="1" applyBorder="1"/>
    <xf numFmtId="0" fontId="4" fillId="0" borderId="1" xfId="0" applyFont="1" applyBorder="1" applyAlignment="1">
      <alignment horizontal="left" indent="2"/>
    </xf>
    <xf numFmtId="0" fontId="4" fillId="0" borderId="1" xfId="0" applyFont="1" applyBorder="1" applyAlignment="1">
      <alignment horizontal="left" indent="3"/>
    </xf>
    <xf numFmtId="0" fontId="5" fillId="0" borderId="1" xfId="0" applyFont="1" applyBorder="1" applyAlignment="1">
      <alignment horizontal="left" indent="2"/>
    </xf>
    <xf numFmtId="172" fontId="2" fillId="0" borderId="30" xfId="0" applyNumberFormat="1" applyFont="1" applyBorder="1"/>
    <xf numFmtId="172" fontId="5" fillId="0" borderId="20" xfId="0" applyNumberFormat="1" applyFont="1" applyBorder="1"/>
    <xf numFmtId="172" fontId="5" fillId="0" borderId="21" xfId="0" applyNumberFormat="1" applyFont="1" applyBorder="1"/>
    <xf numFmtId="172" fontId="5" fillId="0" borderId="22" xfId="0" applyNumberFormat="1" applyFont="1" applyBorder="1"/>
    <xf numFmtId="172" fontId="5" fillId="0" borderId="24" xfId="0" applyNumberFormat="1" applyFont="1" applyBorder="1"/>
    <xf numFmtId="172" fontId="5" fillId="0" borderId="25" xfId="0" applyNumberFormat="1" applyFont="1" applyBorder="1"/>
    <xf numFmtId="172" fontId="5" fillId="0" borderId="26" xfId="0" applyNumberFormat="1" applyFont="1" applyBorder="1"/>
    <xf numFmtId="172" fontId="4" fillId="0" borderId="20" xfId="0" applyNumberFormat="1" applyFont="1" applyBorder="1"/>
    <xf numFmtId="172" fontId="4" fillId="0" borderId="21" xfId="0" applyNumberFormat="1" applyFont="1" applyBorder="1"/>
    <xf numFmtId="172" fontId="4" fillId="0" borderId="22" xfId="0" applyNumberFormat="1" applyFont="1" applyBorder="1"/>
    <xf numFmtId="172" fontId="4" fillId="0" borderId="1" xfId="0" applyNumberFormat="1" applyFont="1" applyBorder="1"/>
    <xf numFmtId="172" fontId="4" fillId="0" borderId="3" xfId="0" applyNumberFormat="1" applyFont="1" applyBorder="1"/>
    <xf numFmtId="172" fontId="4" fillId="0" borderId="13" xfId="0" applyNumberFormat="1" applyFont="1" applyBorder="1"/>
    <xf numFmtId="172" fontId="4" fillId="0" borderId="24" xfId="0" applyNumberFormat="1" applyFont="1" applyBorder="1"/>
    <xf numFmtId="172" fontId="4" fillId="0" borderId="25" xfId="0" applyNumberFormat="1" applyFont="1" applyBorder="1"/>
    <xf numFmtId="172" fontId="4" fillId="0" borderId="26" xfId="0" applyNumberFormat="1" applyFont="1" applyBorder="1"/>
    <xf numFmtId="172" fontId="4" fillId="0" borderId="14" xfId="0" applyNumberFormat="1" applyFont="1" applyBorder="1"/>
    <xf numFmtId="172" fontId="5" fillId="0" borderId="23" xfId="0" applyNumberFormat="1" applyFont="1" applyBorder="1"/>
    <xf numFmtId="172" fontId="5" fillId="0" borderId="27" xfId="0" applyNumberFormat="1" applyFont="1" applyBorder="1"/>
    <xf numFmtId="172" fontId="4" fillId="0" borderId="23" xfId="0" applyNumberFormat="1" applyFont="1" applyBorder="1"/>
    <xf numFmtId="172" fontId="4" fillId="0" borderId="27" xfId="0" applyNumberFormat="1" applyFont="1" applyBorder="1"/>
    <xf numFmtId="0" fontId="5" fillId="2" borderId="12" xfId="0" applyFont="1" applyFill="1" applyBorder="1" applyAlignment="1"/>
    <xf numFmtId="0" fontId="5" fillId="2" borderId="6" xfId="0" applyFont="1" applyFill="1" applyBorder="1" applyAlignment="1"/>
    <xf numFmtId="172" fontId="2" fillId="0" borderId="0" xfId="0" applyNumberFormat="1" applyFont="1"/>
    <xf numFmtId="172" fontId="2" fillId="6" borderId="1" xfId="0" applyNumberFormat="1" applyFont="1" applyFill="1" applyBorder="1"/>
    <xf numFmtId="172" fontId="2" fillId="0" borderId="24" xfId="0" applyNumberFormat="1" applyFont="1" applyFill="1" applyBorder="1"/>
    <xf numFmtId="172" fontId="2" fillId="0" borderId="4" xfId="0" applyNumberFormat="1" applyFont="1" applyBorder="1"/>
    <xf numFmtId="172" fontId="2" fillId="0" borderId="31" xfId="0" applyNumberFormat="1" applyFont="1" applyBorder="1"/>
    <xf numFmtId="172" fontId="2" fillId="0" borderId="32" xfId="0" applyNumberFormat="1" applyFont="1" applyBorder="1"/>
    <xf numFmtId="172" fontId="2" fillId="0" borderId="33" xfId="0" applyNumberFormat="1" applyFont="1" applyBorder="1"/>
    <xf numFmtId="0" fontId="5" fillId="5" borderId="0" xfId="0" applyFont="1" applyFill="1" applyAlignment="1">
      <alignment horizontal="center" vertical="top" wrapText="1"/>
    </xf>
    <xf numFmtId="0" fontId="5" fillId="5" borderId="2" xfId="0" applyFont="1" applyFill="1" applyBorder="1" applyAlignment="1">
      <alignment horizontal="center" vertical="top" wrapText="1"/>
    </xf>
    <xf numFmtId="0" fontId="10" fillId="0" borderId="0" xfId="0" applyFont="1"/>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5" borderId="35" xfId="0" applyFont="1" applyFill="1" applyBorder="1" applyAlignment="1">
      <alignment horizontal="center" vertical="top" wrapText="1"/>
    </xf>
    <xf numFmtId="9" fontId="5" fillId="0" borderId="11" xfId="6" applyFont="1" applyBorder="1" applyAlignment="1">
      <alignment horizontal="center"/>
    </xf>
    <xf numFmtId="1" fontId="5" fillId="0" borderId="11" xfId="0" applyNumberFormat="1" applyFont="1" applyBorder="1" applyAlignment="1">
      <alignment horizontal="center"/>
    </xf>
    <xf numFmtId="0" fontId="14" fillId="0" borderId="36" xfId="0" applyFont="1" applyFill="1" applyBorder="1" applyAlignment="1">
      <alignment horizontal="center" vertical="top" wrapText="1"/>
    </xf>
    <xf numFmtId="0" fontId="14" fillId="0" borderId="37"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17" fillId="0" borderId="0" xfId="0" applyFont="1" applyBorder="1" applyAlignment="1">
      <alignment horizontal="left" vertical="top"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9" fillId="0" borderId="9" xfId="0" applyFont="1" applyFill="1" applyBorder="1" applyAlignment="1">
      <alignment horizontal="left"/>
    </xf>
    <xf numFmtId="0" fontId="14" fillId="0" borderId="9" xfId="0" applyFont="1" applyFill="1" applyBorder="1" applyAlignment="1">
      <alignment horizontal="centerContinuous"/>
    </xf>
    <xf numFmtId="0" fontId="12" fillId="0" borderId="0" xfId="0" applyFont="1"/>
    <xf numFmtId="0" fontId="14" fillId="0" borderId="4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 xfId="0" applyFont="1" applyFill="1" applyBorder="1" applyAlignment="1">
      <alignment horizontal="center" vertical="top" wrapText="1"/>
    </xf>
    <xf numFmtId="0" fontId="14" fillId="0" borderId="10" xfId="0" applyFont="1" applyFill="1" applyBorder="1" applyAlignment="1">
      <alignment horizontal="center" vertical="top" wrapText="1"/>
    </xf>
    <xf numFmtId="0" fontId="14" fillId="0" borderId="9" xfId="0" applyFont="1" applyFill="1" applyBorder="1" applyAlignment="1">
      <alignment horizontal="center" vertical="top" wrapText="1"/>
    </xf>
    <xf numFmtId="173" fontId="12" fillId="0" borderId="3" xfId="0" applyNumberFormat="1" applyFont="1" applyBorder="1"/>
    <xf numFmtId="173" fontId="12" fillId="0" borderId="42" xfId="0" applyNumberFormat="1" applyFont="1" applyBorder="1"/>
    <xf numFmtId="173" fontId="12" fillId="0" borderId="8" xfId="0" applyNumberFormat="1" applyFont="1" applyBorder="1"/>
    <xf numFmtId="173" fontId="12" fillId="0" borderId="0" xfId="0" applyNumberFormat="1" applyFont="1" applyBorder="1"/>
    <xf numFmtId="173" fontId="12" fillId="0" borderId="3" xfId="0" applyNumberFormat="1" applyFont="1" applyFill="1" applyBorder="1"/>
    <xf numFmtId="173" fontId="12" fillId="0" borderId="42" xfId="0" applyNumberFormat="1" applyFont="1" applyFill="1" applyBorder="1"/>
    <xf numFmtId="173" fontId="12" fillId="0" borderId="8" xfId="0" applyNumberFormat="1" applyFont="1" applyFill="1" applyBorder="1"/>
    <xf numFmtId="173" fontId="12" fillId="0" borderId="12" xfId="0" applyNumberFormat="1" applyFont="1" applyBorder="1"/>
    <xf numFmtId="173" fontId="12" fillId="0" borderId="43" xfId="0" applyNumberFormat="1" applyFont="1" applyBorder="1"/>
    <xf numFmtId="173" fontId="12" fillId="0" borderId="7" xfId="0" applyNumberFormat="1" applyFont="1" applyBorder="1"/>
    <xf numFmtId="173" fontId="12" fillId="0" borderId="6" xfId="0" applyNumberFormat="1" applyFont="1" applyBorder="1"/>
    <xf numFmtId="173" fontId="14" fillId="0" borderId="3" xfId="0" applyNumberFormat="1" applyFont="1" applyBorder="1"/>
    <xf numFmtId="173" fontId="14" fillId="0" borderId="42" xfId="0" applyNumberFormat="1" applyFont="1" applyBorder="1"/>
    <xf numFmtId="173" fontId="14" fillId="0" borderId="8" xfId="0" applyNumberFormat="1" applyFont="1" applyBorder="1"/>
    <xf numFmtId="173" fontId="14" fillId="0" borderId="0" xfId="0" applyNumberFormat="1" applyFont="1" applyBorder="1"/>
    <xf numFmtId="0" fontId="14" fillId="0" borderId="44" xfId="0" applyNumberFormat="1" applyFont="1" applyBorder="1"/>
    <xf numFmtId="173" fontId="12" fillId="0" borderId="4" xfId="0" applyNumberFormat="1" applyFont="1" applyBorder="1"/>
    <xf numFmtId="173" fontId="12" fillId="0" borderId="36" xfId="0" applyNumberFormat="1" applyFont="1" applyBorder="1"/>
    <xf numFmtId="173" fontId="12" fillId="0" borderId="10" xfId="0" applyNumberFormat="1" applyFont="1" applyBorder="1"/>
    <xf numFmtId="173" fontId="12" fillId="0" borderId="9" xfId="0" applyNumberFormat="1" applyFont="1" applyBorder="1"/>
    <xf numFmtId="0" fontId="12" fillId="0" borderId="0" xfId="0" applyFont="1" applyAlignment="1">
      <alignment horizontal="left" wrapText="1"/>
    </xf>
    <xf numFmtId="0" fontId="7" fillId="0" borderId="0" xfId="0" applyFont="1"/>
    <xf numFmtId="0" fontId="14" fillId="0" borderId="4" xfId="0" applyFont="1" applyFill="1" applyBorder="1" applyAlignment="1">
      <alignment horizontal="left" vertical="center"/>
    </xf>
    <xf numFmtId="0" fontId="16" fillId="0" borderId="3" xfId="0" applyFont="1" applyBorder="1"/>
    <xf numFmtId="0" fontId="12" fillId="0" borderId="42" xfId="0" applyNumberFormat="1" applyFont="1" applyBorder="1" applyAlignment="1">
      <alignment horizontal="center"/>
    </xf>
    <xf numFmtId="0" fontId="14" fillId="0" borderId="6" xfId="0" applyFont="1" applyBorder="1" applyAlignment="1">
      <alignment horizontal="center"/>
    </xf>
    <xf numFmtId="0" fontId="14" fillId="0" borderId="43" xfId="0" applyFont="1" applyBorder="1" applyAlignment="1">
      <alignment horizontal="center"/>
    </xf>
    <xf numFmtId="0" fontId="14" fillId="0" borderId="7" xfId="0" applyFont="1" applyBorder="1" applyAlignment="1">
      <alignment horizontal="center"/>
    </xf>
    <xf numFmtId="0" fontId="14" fillId="0" borderId="12" xfId="0" applyFont="1" applyBorder="1" applyAlignment="1">
      <alignment horizontal="center"/>
    </xf>
    <xf numFmtId="0" fontId="14" fillId="0" borderId="45" xfId="0" applyFont="1" applyBorder="1" applyAlignment="1">
      <alignment horizontal="center"/>
    </xf>
    <xf numFmtId="0" fontId="14" fillId="0" borderId="8" xfId="0" applyFont="1" applyBorder="1" applyAlignment="1">
      <alignment horizontal="center"/>
    </xf>
    <xf numFmtId="0" fontId="14" fillId="0" borderId="1" xfId="0" applyFont="1" applyBorder="1" applyAlignment="1">
      <alignment horizontal="center"/>
    </xf>
    <xf numFmtId="0" fontId="12" fillId="0" borderId="3" xfId="0" applyFont="1" applyBorder="1" applyAlignment="1">
      <alignment horizontal="left" indent="1"/>
    </xf>
    <xf numFmtId="174" fontId="12" fillId="0" borderId="0" xfId="0" applyNumberFormat="1" applyFont="1" applyBorder="1" applyAlignment="1">
      <alignment horizontal="right"/>
    </xf>
    <xf numFmtId="174" fontId="12" fillId="0" borderId="42" xfId="0" applyNumberFormat="1" applyFont="1" applyBorder="1" applyAlignment="1">
      <alignment horizontal="right"/>
    </xf>
    <xf numFmtId="174" fontId="12" fillId="0" borderId="8" xfId="0" applyNumberFormat="1" applyFont="1" applyBorder="1" applyAlignment="1">
      <alignment horizontal="right"/>
    </xf>
    <xf numFmtId="174" fontId="12" fillId="0" borderId="3" xfId="0" applyNumberFormat="1" applyFont="1" applyBorder="1" applyAlignment="1">
      <alignment horizontal="right"/>
    </xf>
    <xf numFmtId="168" fontId="12" fillId="0" borderId="8" xfId="0" applyNumberFormat="1" applyFont="1" applyBorder="1"/>
    <xf numFmtId="168" fontId="12" fillId="0" borderId="1" xfId="0" applyNumberFormat="1" applyFont="1" applyBorder="1"/>
    <xf numFmtId="0" fontId="14" fillId="0" borderId="3" xfId="0" applyFont="1" applyBorder="1" applyAlignment="1">
      <alignment horizontal="left"/>
    </xf>
    <xf numFmtId="174" fontId="14" fillId="0" borderId="46" xfId="0" applyNumberFormat="1" applyFont="1" applyBorder="1" applyAlignment="1">
      <alignment horizontal="right"/>
    </xf>
    <xf numFmtId="168" fontId="14" fillId="0" borderId="34" xfId="0" applyNumberFormat="1" applyFont="1" applyBorder="1"/>
    <xf numFmtId="168" fontId="14" fillId="0" borderId="2" xfId="0" applyNumberFormat="1" applyFont="1" applyBorder="1"/>
    <xf numFmtId="0" fontId="12" fillId="0" borderId="3" xfId="0" applyFont="1" applyBorder="1"/>
    <xf numFmtId="174" fontId="12" fillId="0" borderId="0" xfId="0" applyNumberFormat="1" applyFont="1" applyBorder="1"/>
    <xf numFmtId="174" fontId="12" fillId="0" borderId="42" xfId="0" applyNumberFormat="1" applyFont="1" applyBorder="1"/>
    <xf numFmtId="174" fontId="12" fillId="0" borderId="8" xfId="0" applyNumberFormat="1" applyFont="1" applyBorder="1"/>
    <xf numFmtId="174" fontId="12" fillId="0" borderId="3" xfId="0" applyNumberFormat="1" applyFont="1" applyBorder="1"/>
    <xf numFmtId="174" fontId="12" fillId="0" borderId="47" xfId="0" applyNumberFormat="1" applyFont="1" applyBorder="1"/>
    <xf numFmtId="174" fontId="12" fillId="0" borderId="42" xfId="0" applyNumberFormat="1" applyFont="1" applyFill="1" applyBorder="1"/>
    <xf numFmtId="168" fontId="12" fillId="0" borderId="8" xfId="0" applyNumberFormat="1" applyFont="1" applyFill="1" applyBorder="1"/>
    <xf numFmtId="168" fontId="12" fillId="0" borderId="1" xfId="0" applyNumberFormat="1" applyFont="1" applyFill="1" applyBorder="1"/>
    <xf numFmtId="174" fontId="12" fillId="0" borderId="0" xfId="0" applyNumberFormat="1" applyFont="1" applyFill="1" applyBorder="1"/>
    <xf numFmtId="174" fontId="12" fillId="0" borderId="47" xfId="0" applyNumberFormat="1" applyFont="1" applyFill="1" applyBorder="1"/>
    <xf numFmtId="174" fontId="14" fillId="0" borderId="48" xfId="0" applyNumberFormat="1" applyFont="1" applyBorder="1"/>
    <xf numFmtId="174" fontId="14" fillId="0" borderId="46" xfId="0" applyNumberFormat="1" applyFont="1" applyBorder="1"/>
    <xf numFmtId="174" fontId="14" fillId="0" borderId="49" xfId="0" applyNumberFormat="1" applyFont="1" applyBorder="1"/>
    <xf numFmtId="174" fontId="14" fillId="0" borderId="50" xfId="0" applyNumberFormat="1" applyFont="1" applyBorder="1"/>
    <xf numFmtId="174" fontId="14" fillId="0" borderId="51" xfId="0" applyNumberFormat="1" applyFont="1" applyBorder="1"/>
    <xf numFmtId="174" fontId="14" fillId="0" borderId="0" xfId="0" applyNumberFormat="1" applyFont="1" applyBorder="1"/>
    <xf numFmtId="174" fontId="14" fillId="0" borderId="42" xfId="0" applyNumberFormat="1" applyFont="1" applyBorder="1"/>
    <xf numFmtId="174" fontId="14" fillId="0" borderId="8" xfId="0" applyNumberFormat="1" applyFont="1" applyBorder="1"/>
    <xf numFmtId="174" fontId="14" fillId="0" borderId="3" xfId="0" applyNumberFormat="1" applyFont="1" applyBorder="1"/>
    <xf numFmtId="174" fontId="14" fillId="0" borderId="47" xfId="0" applyNumberFormat="1" applyFont="1" applyBorder="1"/>
    <xf numFmtId="168" fontId="14" fillId="0" borderId="8" xfId="0" applyNumberFormat="1" applyFont="1" applyBorder="1"/>
    <xf numFmtId="168" fontId="14" fillId="0" borderId="1" xfId="0" applyNumberFormat="1" applyFont="1" applyBorder="1"/>
    <xf numFmtId="0" fontId="14" fillId="0" borderId="52" xfId="0" applyFont="1" applyBorder="1"/>
    <xf numFmtId="0" fontId="12" fillId="0" borderId="53" xfId="0" applyNumberFormat="1" applyFont="1" applyBorder="1" applyAlignment="1">
      <alignment horizontal="center"/>
    </xf>
    <xf numFmtId="174" fontId="14" fillId="0" borderId="54" xfId="0" applyNumberFormat="1" applyFont="1" applyFill="1" applyBorder="1"/>
    <xf numFmtId="174" fontId="14" fillId="0" borderId="53" xfId="0" applyNumberFormat="1" applyFont="1" applyFill="1" applyBorder="1"/>
    <xf numFmtId="174" fontId="14" fillId="0" borderId="55" xfId="0" applyNumberFormat="1" applyFont="1" applyBorder="1"/>
    <xf numFmtId="174" fontId="14" fillId="0" borderId="52" xfId="0" applyNumberFormat="1" applyFont="1" applyBorder="1"/>
    <xf numFmtId="174" fontId="14" fillId="0" borderId="53" xfId="0" applyNumberFormat="1" applyFont="1" applyBorder="1"/>
    <xf numFmtId="174" fontId="14" fillId="0" borderId="54" xfId="0" applyNumberFormat="1" applyFont="1" applyBorder="1"/>
    <xf numFmtId="174" fontId="14" fillId="0" borderId="56" xfId="0" applyNumberFormat="1" applyFont="1" applyBorder="1"/>
    <xf numFmtId="168" fontId="14" fillId="0" borderId="57" xfId="0" applyNumberFormat="1" applyFont="1" applyBorder="1"/>
    <xf numFmtId="168" fontId="14" fillId="0" borderId="58" xfId="0" applyNumberFormat="1" applyFont="1" applyBorder="1"/>
    <xf numFmtId="0" fontId="18" fillId="0" borderId="0" xfId="0" applyFont="1" applyBorder="1"/>
    <xf numFmtId="0" fontId="12" fillId="0" borderId="0" xfId="0" applyFont="1" applyBorder="1" applyAlignment="1">
      <alignment horizontal="center"/>
    </xf>
    <xf numFmtId="0" fontId="14" fillId="0" borderId="0" xfId="0" applyFont="1" applyFill="1" applyBorder="1"/>
    <xf numFmtId="168" fontId="14" fillId="0" borderId="0" xfId="0" applyNumberFormat="1" applyFont="1" applyFill="1" applyBorder="1"/>
    <xf numFmtId="0" fontId="17" fillId="0" borderId="0" xfId="0" quotePrefix="1" applyFont="1" applyBorder="1"/>
    <xf numFmtId="0" fontId="14" fillId="0" borderId="0" xfId="0" applyFont="1" applyBorder="1"/>
    <xf numFmtId="168" fontId="14" fillId="0" borderId="0" xfId="0" applyNumberFormat="1" applyFont="1" applyBorder="1"/>
    <xf numFmtId="0" fontId="17" fillId="0" borderId="0" xfId="0" applyFont="1" applyBorder="1" applyAlignment="1">
      <alignment horizontal="left"/>
    </xf>
    <xf numFmtId="0" fontId="17" fillId="0" borderId="0" xfId="0" applyFont="1" applyBorder="1" applyAlignment="1">
      <alignment horizontal="center"/>
    </xf>
    <xf numFmtId="0" fontId="17" fillId="0" borderId="0" xfId="0" applyFont="1" applyBorder="1" applyAlignment="1">
      <alignment horizontal="right"/>
    </xf>
    <xf numFmtId="164" fontId="12" fillId="0" borderId="0" xfId="1" applyNumberFormat="1" applyFont="1"/>
    <xf numFmtId="0" fontId="12" fillId="0" borderId="0" xfId="0" applyFont="1" applyBorder="1"/>
    <xf numFmtId="0" fontId="12" fillId="0" borderId="0" xfId="0" applyFont="1" applyAlignment="1">
      <alignment horizontal="center"/>
    </xf>
    <xf numFmtId="0" fontId="14" fillId="0" borderId="9" xfId="0" applyFont="1" applyFill="1" applyBorder="1" applyAlignment="1">
      <alignment horizontal="left"/>
    </xf>
    <xf numFmtId="0" fontId="16" fillId="0" borderId="3" xfId="0" applyNumberFormat="1" applyFont="1" applyBorder="1"/>
    <xf numFmtId="0" fontId="12" fillId="0" borderId="3" xfId="0" applyNumberFormat="1" applyFont="1" applyBorder="1" applyAlignment="1">
      <alignment horizontal="left" indent="1"/>
    </xf>
    <xf numFmtId="174" fontId="12" fillId="0" borderId="3" xfId="0" applyNumberFormat="1" applyFont="1" applyFill="1" applyBorder="1"/>
    <xf numFmtId="164" fontId="12" fillId="0" borderId="0" xfId="1" applyNumberFormat="1" applyFont="1" applyAlignment="1">
      <alignment horizontal="center"/>
    </xf>
    <xf numFmtId="167" fontId="12" fillId="0" borderId="0" xfId="6" applyNumberFormat="1" applyFont="1" applyAlignment="1">
      <alignment horizontal="center"/>
    </xf>
    <xf numFmtId="0" fontId="12" fillId="0" borderId="3" xfId="0" applyNumberFormat="1" applyFont="1" applyFill="1" applyBorder="1" applyAlignment="1">
      <alignment horizontal="left" indent="1"/>
    </xf>
    <xf numFmtId="174" fontId="12" fillId="0" borderId="0" xfId="1" applyNumberFormat="1" applyFont="1" applyBorder="1"/>
    <xf numFmtId="174" fontId="12" fillId="0" borderId="42" xfId="1" applyNumberFormat="1" applyFont="1" applyFill="1" applyBorder="1"/>
    <xf numFmtId="174" fontId="12" fillId="0" borderId="8" xfId="1" applyNumberFormat="1" applyFont="1" applyBorder="1"/>
    <xf numFmtId="174" fontId="12" fillId="0" borderId="3" xfId="1" applyNumberFormat="1" applyFont="1" applyFill="1" applyBorder="1"/>
    <xf numFmtId="174" fontId="12" fillId="0" borderId="42" xfId="1" applyNumberFormat="1" applyFont="1" applyBorder="1"/>
    <xf numFmtId="174" fontId="12" fillId="0" borderId="47" xfId="1" applyNumberFormat="1" applyFont="1" applyBorder="1"/>
    <xf numFmtId="174" fontId="12" fillId="0" borderId="0" xfId="1" applyNumberFormat="1" applyFont="1" applyFill="1" applyBorder="1"/>
    <xf numFmtId="174" fontId="12" fillId="0" borderId="8" xfId="1" applyNumberFormat="1" applyFont="1" applyFill="1" applyBorder="1"/>
    <xf numFmtId="174" fontId="12" fillId="0" borderId="47" xfId="1" applyNumberFormat="1" applyFont="1" applyFill="1" applyBorder="1"/>
    <xf numFmtId="174" fontId="12" fillId="0" borderId="8" xfId="0" applyNumberFormat="1" applyFont="1" applyFill="1" applyBorder="1"/>
    <xf numFmtId="0" fontId="14" fillId="0" borderId="3" xfId="0" applyNumberFormat="1" applyFont="1" applyBorder="1"/>
    <xf numFmtId="174" fontId="14" fillId="0" borderId="48" xfId="0" applyNumberFormat="1" applyFont="1" applyFill="1" applyBorder="1"/>
    <xf numFmtId="174" fontId="14" fillId="0" borderId="46" xfId="0" applyNumberFormat="1" applyFont="1" applyFill="1" applyBorder="1"/>
    <xf numFmtId="174" fontId="14" fillId="0" borderId="49" xfId="0" applyNumberFormat="1" applyFont="1" applyFill="1" applyBorder="1"/>
    <xf numFmtId="174" fontId="14" fillId="0" borderId="50" xfId="0" applyNumberFormat="1" applyFont="1" applyFill="1" applyBorder="1"/>
    <xf numFmtId="174" fontId="14" fillId="0" borderId="51" xfId="0" applyNumberFormat="1" applyFont="1" applyFill="1" applyBorder="1"/>
    <xf numFmtId="164" fontId="12" fillId="0" borderId="0" xfId="0" applyNumberFormat="1" applyFont="1"/>
    <xf numFmtId="167" fontId="12" fillId="0" borderId="0" xfId="0" applyNumberFormat="1" applyFont="1"/>
    <xf numFmtId="0" fontId="12" fillId="0" borderId="3" xfId="0" applyNumberFormat="1" applyFont="1" applyBorder="1"/>
    <xf numFmtId="0" fontId="19" fillId="0" borderId="42" xfId="0" applyNumberFormat="1" applyFont="1" applyBorder="1" applyAlignment="1">
      <alignment horizontal="center"/>
    </xf>
    <xf numFmtId="174" fontId="14" fillId="0" borderId="59" xfId="0" applyNumberFormat="1" applyFont="1" applyBorder="1"/>
    <xf numFmtId="174" fontId="14" fillId="0" borderId="60" xfId="0" applyNumberFormat="1" applyFont="1" applyBorder="1"/>
    <xf numFmtId="174" fontId="14" fillId="0" borderId="61" xfId="0" applyNumberFormat="1" applyFont="1" applyBorder="1"/>
    <xf numFmtId="174" fontId="14" fillId="0" borderId="62" xfId="0" applyNumberFormat="1" applyFont="1" applyBorder="1"/>
    <xf numFmtId="174" fontId="14" fillId="0" borderId="63" xfId="0" applyNumberFormat="1" applyFont="1" applyBorder="1"/>
    <xf numFmtId="167" fontId="12" fillId="0" borderId="0" xfId="0" applyNumberFormat="1" applyFont="1" applyAlignment="1">
      <alignment horizontal="center"/>
    </xf>
    <xf numFmtId="0" fontId="14" fillId="0" borderId="52" xfId="0" applyNumberFormat="1" applyFont="1" applyBorder="1"/>
    <xf numFmtId="174" fontId="14" fillId="0" borderId="9" xfId="0" applyNumberFormat="1" applyFont="1" applyBorder="1"/>
    <xf numFmtId="174" fontId="14" fillId="0" borderId="36" xfId="0" applyNumberFormat="1" applyFont="1" applyBorder="1"/>
    <xf numFmtId="174" fontId="14" fillId="0" borderId="10" xfId="0" applyNumberFormat="1" applyFont="1" applyBorder="1"/>
    <xf numFmtId="174" fontId="14" fillId="0" borderId="4" xfId="0" applyNumberFormat="1" applyFont="1" applyBorder="1"/>
    <xf numFmtId="174" fontId="14" fillId="0" borderId="64" xfId="0" applyNumberFormat="1" applyFont="1" applyBorder="1"/>
    <xf numFmtId="0" fontId="17" fillId="0" borderId="0" xfId="0" applyFont="1" applyBorder="1"/>
    <xf numFmtId="0" fontId="17" fillId="0" borderId="3" xfId="0" applyFont="1" applyBorder="1" applyAlignment="1">
      <alignment horizontal="right"/>
    </xf>
    <xf numFmtId="164" fontId="17" fillId="0" borderId="0" xfId="1" applyNumberFormat="1" applyFont="1" applyBorder="1" applyAlignment="1">
      <alignment horizontal="right"/>
    </xf>
    <xf numFmtId="0" fontId="12" fillId="0" borderId="36" xfId="0" applyFont="1" applyFill="1" applyBorder="1" applyAlignment="1">
      <alignment horizontal="center" vertical="center"/>
    </xf>
    <xf numFmtId="0" fontId="12" fillId="0" borderId="43" xfId="0" applyFont="1" applyBorder="1" applyAlignment="1">
      <alignment horizontal="center"/>
    </xf>
    <xf numFmtId="168" fontId="14" fillId="0" borderId="7" xfId="0" applyNumberFormat="1" applyFont="1" applyBorder="1" applyAlignment="1">
      <alignment horizontal="center"/>
    </xf>
    <xf numFmtId="0" fontId="12" fillId="0" borderId="42" xfId="0" applyFont="1" applyBorder="1" applyAlignment="1">
      <alignment horizontal="center"/>
    </xf>
    <xf numFmtId="0" fontId="12" fillId="0" borderId="42" xfId="0" applyFont="1" applyFill="1" applyBorder="1" applyAlignment="1">
      <alignment horizontal="center"/>
    </xf>
    <xf numFmtId="0" fontId="19" fillId="0" borderId="42" xfId="0" applyFont="1" applyBorder="1" applyAlignment="1">
      <alignment horizontal="center"/>
    </xf>
    <xf numFmtId="174" fontId="12" fillId="0" borderId="3" xfId="1" applyNumberFormat="1" applyFont="1" applyBorder="1"/>
    <xf numFmtId="0" fontId="14" fillId="0" borderId="3" xfId="0" applyNumberFormat="1" applyFont="1" applyBorder="1" applyAlignment="1">
      <alignment horizontal="left" wrapText="1"/>
    </xf>
    <xf numFmtId="174" fontId="14" fillId="0" borderId="46" xfId="0" applyNumberFormat="1" applyFont="1" applyBorder="1" applyAlignment="1">
      <alignment vertical="top"/>
    </xf>
    <xf numFmtId="0" fontId="14" fillId="0" borderId="4" xfId="0" applyFont="1" applyFill="1" applyBorder="1" applyAlignment="1">
      <alignment horizontal="center" vertical="center" wrapText="1"/>
    </xf>
    <xf numFmtId="174" fontId="14" fillId="0" borderId="49" xfId="0" applyNumberFormat="1" applyFont="1" applyBorder="1" applyAlignment="1">
      <alignment vertical="top"/>
    </xf>
    <xf numFmtId="174" fontId="14" fillId="0" borderId="50" xfId="0" applyNumberFormat="1" applyFont="1" applyBorder="1" applyAlignment="1">
      <alignment vertical="top"/>
    </xf>
    <xf numFmtId="174" fontId="14" fillId="0" borderId="51" xfId="0" applyNumberFormat="1" applyFont="1" applyBorder="1" applyAlignment="1">
      <alignment vertical="top"/>
    </xf>
    <xf numFmtId="0" fontId="14" fillId="0" borderId="3" xfId="0" applyNumberFormat="1" applyFont="1" applyBorder="1" applyAlignment="1">
      <alignment wrapText="1"/>
    </xf>
    <xf numFmtId="0" fontId="12" fillId="0" borderId="3" xfId="0" applyNumberFormat="1" applyFont="1" applyBorder="1" applyAlignment="1">
      <alignment horizontal="left" wrapText="1" indent="1"/>
    </xf>
    <xf numFmtId="0" fontId="14" fillId="0" borderId="56" xfId="0" applyNumberFormat="1" applyFont="1" applyBorder="1"/>
    <xf numFmtId="0" fontId="12" fillId="0" borderId="53" xfId="0" applyFont="1" applyBorder="1" applyAlignment="1">
      <alignment horizontal="center"/>
    </xf>
    <xf numFmtId="0" fontId="18" fillId="0" borderId="0" xfId="0" applyNumberFormat="1" applyFont="1" applyBorder="1"/>
    <xf numFmtId="0" fontId="17" fillId="0" borderId="0" xfId="0" applyNumberFormat="1" applyFont="1" applyBorder="1"/>
    <xf numFmtId="168" fontId="12" fillId="0" borderId="0" xfId="0" applyNumberFormat="1" applyFont="1" applyBorder="1"/>
    <xf numFmtId="168" fontId="12" fillId="0" borderId="0" xfId="0" applyNumberFormat="1" applyFont="1"/>
    <xf numFmtId="174" fontId="14" fillId="0" borderId="43" xfId="0" applyNumberFormat="1" applyFont="1" applyBorder="1" applyAlignment="1">
      <alignment horizontal="center"/>
    </xf>
    <xf numFmtId="174" fontId="14" fillId="0" borderId="6" xfId="0" applyNumberFormat="1" applyFont="1" applyBorder="1" applyAlignment="1">
      <alignment horizontal="center"/>
    </xf>
    <xf numFmtId="174" fontId="14" fillId="0" borderId="12" xfId="0" applyNumberFormat="1" applyFont="1" applyBorder="1" applyAlignment="1">
      <alignment horizontal="center"/>
    </xf>
    <xf numFmtId="174" fontId="14" fillId="0" borderId="7" xfId="0" applyNumberFormat="1" applyFont="1" applyBorder="1" applyAlignment="1">
      <alignment horizontal="center"/>
    </xf>
    <xf numFmtId="174" fontId="14" fillId="0" borderId="42" xfId="0" applyNumberFormat="1" applyFont="1" applyBorder="1" applyAlignment="1">
      <alignment horizontal="center"/>
    </xf>
    <xf numFmtId="174" fontId="14" fillId="0" borderId="0" xfId="0" applyNumberFormat="1" applyFont="1" applyBorder="1" applyAlignment="1">
      <alignment horizontal="center"/>
    </xf>
    <xf numFmtId="174" fontId="14" fillId="0" borderId="3" xfId="0" applyNumberFormat="1" applyFont="1" applyBorder="1" applyAlignment="1">
      <alignment horizontal="center"/>
    </xf>
    <xf numFmtId="174" fontId="14" fillId="0" borderId="8" xfId="0" applyNumberFormat="1" applyFont="1" applyBorder="1" applyAlignment="1">
      <alignment horizontal="center"/>
    </xf>
    <xf numFmtId="43" fontId="12" fillId="0" borderId="0" xfId="1" applyFont="1" applyFill="1" applyBorder="1" applyAlignment="1">
      <alignment horizontal="right"/>
    </xf>
    <xf numFmtId="0" fontId="12" fillId="0" borderId="0" xfId="0" applyFont="1" applyAlignment="1">
      <alignment horizontal="right"/>
    </xf>
    <xf numFmtId="43" fontId="12" fillId="0" borderId="0" xfId="0" applyNumberFormat="1" applyFont="1" applyAlignment="1">
      <alignment horizontal="right"/>
    </xf>
    <xf numFmtId="174" fontId="12" fillId="0" borderId="3" xfId="1" applyNumberFormat="1" applyFont="1" applyBorder="1" applyAlignment="1">
      <alignment horizontal="right"/>
    </xf>
    <xf numFmtId="174" fontId="12" fillId="0" borderId="8" xfId="1" applyNumberFormat="1" applyFont="1" applyBorder="1" applyAlignment="1">
      <alignment horizontal="right"/>
    </xf>
    <xf numFmtId="174" fontId="12" fillId="0" borderId="42" xfId="0" applyNumberFormat="1" applyFont="1" applyBorder="1" applyAlignment="1">
      <alignment horizontal="center"/>
    </xf>
    <xf numFmtId="0" fontId="12" fillId="0" borderId="3" xfId="0" applyFont="1" applyFill="1" applyBorder="1" applyAlignment="1">
      <alignment horizontal="left" indent="1"/>
    </xf>
    <xf numFmtId="0" fontId="14" fillId="0" borderId="3" xfId="0" applyFont="1" applyBorder="1"/>
    <xf numFmtId="174" fontId="14" fillId="0" borderId="53" xfId="0" applyNumberFormat="1" applyFont="1" applyBorder="1" applyAlignment="1">
      <alignment horizontal="center"/>
    </xf>
    <xf numFmtId="174" fontId="14" fillId="0" borderId="55" xfId="0" applyNumberFormat="1" applyFont="1" applyBorder="1" applyAlignment="1">
      <alignment horizontal="right"/>
    </xf>
    <xf numFmtId="174" fontId="14" fillId="0" borderId="52" xfId="0" applyNumberFormat="1" applyFont="1" applyBorder="1" applyAlignment="1">
      <alignment horizontal="right"/>
    </xf>
    <xf numFmtId="174" fontId="14" fillId="0" borderId="53" xfId="0" applyNumberFormat="1" applyFont="1" applyBorder="1" applyAlignment="1">
      <alignment horizontal="right"/>
    </xf>
    <xf numFmtId="174" fontId="14" fillId="0" borderId="54" xfId="0" applyNumberFormat="1" applyFont="1" applyBorder="1" applyAlignment="1">
      <alignment horizontal="right"/>
    </xf>
    <xf numFmtId="0" fontId="14" fillId="0" borderId="52" xfId="0" applyFont="1" applyBorder="1" applyAlignment="1">
      <alignment horizontal="left"/>
    </xf>
    <xf numFmtId="0" fontId="14" fillId="0" borderId="3" xfId="0" applyFont="1" applyFill="1" applyBorder="1"/>
    <xf numFmtId="166" fontId="12" fillId="0" borderId="0" xfId="0" applyNumberFormat="1" applyFont="1"/>
    <xf numFmtId="0" fontId="12" fillId="0" borderId="0" xfId="0" applyFont="1" applyBorder="1" applyAlignment="1"/>
    <xf numFmtId="0" fontId="12" fillId="0" borderId="4" xfId="0" applyFont="1" applyBorder="1"/>
    <xf numFmtId="0" fontId="12" fillId="0" borderId="9" xfId="0" applyFont="1" applyBorder="1" applyAlignment="1">
      <alignment horizontal="center"/>
    </xf>
    <xf numFmtId="165" fontId="17" fillId="0" borderId="0" xfId="1" applyNumberFormat="1" applyFont="1" applyBorder="1" applyAlignment="1">
      <alignment horizontal="right"/>
    </xf>
    <xf numFmtId="165" fontId="12" fillId="0" borderId="0" xfId="1" applyNumberFormat="1" applyFont="1"/>
    <xf numFmtId="165" fontId="12" fillId="0" borderId="0" xfId="1" applyNumberFormat="1" applyFont="1" applyFill="1"/>
    <xf numFmtId="174" fontId="14" fillId="0" borderId="45" xfId="0" applyNumberFormat="1" applyFont="1" applyBorder="1" applyAlignment="1">
      <alignment horizontal="center"/>
    </xf>
    <xf numFmtId="0" fontId="14" fillId="0" borderId="62" xfId="0" applyFont="1" applyBorder="1"/>
    <xf numFmtId="0" fontId="12" fillId="0" borderId="60" xfId="0" applyFont="1" applyBorder="1" applyAlignment="1">
      <alignment horizontal="center"/>
    </xf>
    <xf numFmtId="43" fontId="12" fillId="0" borderId="0" xfId="1" applyFont="1" applyBorder="1"/>
    <xf numFmtId="174" fontId="14" fillId="0" borderId="8" xfId="0" applyNumberFormat="1" applyFont="1" applyFill="1" applyBorder="1"/>
    <xf numFmtId="0" fontId="14" fillId="0" borderId="4" xfId="0" applyFont="1" applyBorder="1"/>
    <xf numFmtId="0" fontId="12" fillId="0" borderId="36" xfId="0" applyFont="1" applyBorder="1" applyAlignment="1">
      <alignment horizontal="center"/>
    </xf>
    <xf numFmtId="174" fontId="14" fillId="0" borderId="36" xfId="0" applyNumberFormat="1" applyFont="1" applyFill="1" applyBorder="1"/>
    <xf numFmtId="174" fontId="14" fillId="0" borderId="64" xfId="0" applyNumberFormat="1" applyFont="1" applyFill="1" applyBorder="1"/>
    <xf numFmtId="0" fontId="12" fillId="0" borderId="42" xfId="0" applyNumberFormat="1" applyFont="1" applyFill="1" applyBorder="1" applyAlignment="1">
      <alignment horizontal="center"/>
    </xf>
    <xf numFmtId="174" fontId="12" fillId="0" borderId="45" xfId="0" applyNumberFormat="1" applyFont="1" applyFill="1" applyBorder="1"/>
    <xf numFmtId="174" fontId="14" fillId="0" borderId="55" xfId="0" applyNumberFormat="1" applyFont="1" applyFill="1" applyBorder="1"/>
    <xf numFmtId="174" fontId="14" fillId="0" borderId="52" xfId="0" applyNumberFormat="1" applyFont="1" applyFill="1" applyBorder="1"/>
    <xf numFmtId="174" fontId="14" fillId="0" borderId="56" xfId="0" applyNumberFormat="1" applyFont="1" applyFill="1" applyBorder="1"/>
    <xf numFmtId="0" fontId="12" fillId="0" borderId="0" xfId="0" applyFont="1" applyAlignment="1">
      <alignment horizontal="center" vertical="center" wrapText="1"/>
    </xf>
    <xf numFmtId="0" fontId="18" fillId="0" borderId="0" xfId="0" applyFont="1"/>
    <xf numFmtId="0" fontId="17" fillId="0" borderId="0" xfId="0" quotePrefix="1" applyFont="1" applyFill="1" applyBorder="1"/>
    <xf numFmtId="0" fontId="20" fillId="0" borderId="0" xfId="0" applyFont="1"/>
    <xf numFmtId="0" fontId="19" fillId="0" borderId="0" xfId="0" applyFont="1" applyFill="1" applyBorder="1"/>
    <xf numFmtId="0" fontId="12" fillId="0" borderId="0" xfId="0" applyFont="1" applyFill="1" applyBorder="1"/>
    <xf numFmtId="174" fontId="12" fillId="0" borderId="65" xfId="0" applyNumberFormat="1" applyFont="1" applyFill="1" applyBorder="1"/>
    <xf numFmtId="174" fontId="12" fillId="0" borderId="0" xfId="0" applyNumberFormat="1" applyFont="1"/>
    <xf numFmtId="168" fontId="12" fillId="0" borderId="0" xfId="0" applyNumberFormat="1" applyFont="1" applyFill="1" applyBorder="1"/>
    <xf numFmtId="0" fontId="12" fillId="0" borderId="3" xfId="0" applyNumberFormat="1" applyFont="1" applyFill="1" applyBorder="1" applyAlignment="1">
      <alignment horizontal="left" indent="2"/>
    </xf>
    <xf numFmtId="174" fontId="12" fillId="0" borderId="46" xfId="0" applyNumberFormat="1" applyFont="1" applyFill="1" applyBorder="1"/>
    <xf numFmtId="174" fontId="12" fillId="0" borderId="49" xfId="0" applyNumberFormat="1" applyFont="1" applyFill="1" applyBorder="1"/>
    <xf numFmtId="0" fontId="12" fillId="0" borderId="3" xfId="0" applyNumberFormat="1" applyFont="1" applyBorder="1" applyAlignment="1">
      <alignment horizontal="left" indent="2"/>
    </xf>
    <xf numFmtId="0" fontId="19" fillId="0" borderId="42" xfId="0" applyNumberFormat="1" applyFont="1" applyFill="1" applyBorder="1" applyAlignment="1">
      <alignment horizontal="center"/>
    </xf>
    <xf numFmtId="0" fontId="12" fillId="0" borderId="0" xfId="0" applyFont="1" applyFill="1"/>
    <xf numFmtId="0" fontId="17" fillId="0" borderId="3" xfId="0" applyNumberFormat="1" applyFont="1" applyFill="1" applyBorder="1" applyAlignment="1">
      <alignment horizontal="left" indent="1"/>
    </xf>
    <xf numFmtId="0" fontId="14" fillId="0" borderId="3" xfId="0" applyNumberFormat="1" applyFont="1" applyFill="1" applyBorder="1" applyAlignment="1">
      <alignment horizontal="left"/>
    </xf>
    <xf numFmtId="0" fontId="14" fillId="0" borderId="3" xfId="0" applyNumberFormat="1" applyFont="1" applyBorder="1" applyAlignment="1">
      <alignment horizontal="left" indent="1"/>
    </xf>
    <xf numFmtId="0" fontId="15" fillId="0" borderId="3" xfId="0" applyNumberFormat="1" applyFont="1" applyBorder="1"/>
    <xf numFmtId="0" fontId="17" fillId="0" borderId="42" xfId="0" applyNumberFormat="1" applyFont="1" applyBorder="1" applyAlignment="1">
      <alignment horizontal="center"/>
    </xf>
    <xf numFmtId="167" fontId="17" fillId="0" borderId="42" xfId="6" applyNumberFormat="1" applyFont="1" applyFill="1" applyBorder="1" applyAlignment="1">
      <alignment horizontal="center"/>
    </xf>
    <xf numFmtId="167" fontId="17" fillId="0" borderId="8" xfId="6" applyNumberFormat="1" applyFont="1" applyFill="1" applyBorder="1" applyAlignment="1">
      <alignment horizontal="center"/>
    </xf>
    <xf numFmtId="167" fontId="17" fillId="0" borderId="3" xfId="6" applyNumberFormat="1" applyFont="1" applyFill="1" applyBorder="1" applyAlignment="1">
      <alignment horizontal="center"/>
    </xf>
    <xf numFmtId="167" fontId="17" fillId="0" borderId="0" xfId="6" applyNumberFormat="1" applyFont="1" applyFill="1" applyBorder="1" applyAlignment="1">
      <alignment horizontal="center"/>
    </xf>
    <xf numFmtId="167" fontId="17" fillId="0" borderId="47" xfId="6" applyNumberFormat="1" applyFont="1" applyFill="1" applyBorder="1" applyAlignment="1">
      <alignment horizontal="center"/>
    </xf>
    <xf numFmtId="0" fontId="12" fillId="0" borderId="4" xfId="0" applyNumberFormat="1" applyFont="1" applyBorder="1"/>
    <xf numFmtId="0" fontId="12" fillId="0" borderId="36" xfId="0" applyNumberFormat="1" applyFont="1" applyBorder="1" applyAlignment="1">
      <alignment horizontal="center"/>
    </xf>
    <xf numFmtId="168" fontId="14" fillId="0" borderId="36" xfId="0" applyNumberFormat="1" applyFont="1" applyBorder="1"/>
    <xf numFmtId="168" fontId="14" fillId="0" borderId="10" xfId="0" applyNumberFormat="1" applyFont="1" applyBorder="1"/>
    <xf numFmtId="168" fontId="14" fillId="0" borderId="4" xfId="0" applyNumberFormat="1" applyFont="1" applyBorder="1"/>
    <xf numFmtId="168" fontId="14" fillId="0" borderId="9" xfId="0" applyNumberFormat="1" applyFont="1" applyBorder="1"/>
    <xf numFmtId="168" fontId="14" fillId="0" borderId="64" xfId="0" applyNumberFormat="1" applyFont="1" applyBorder="1"/>
    <xf numFmtId="0" fontId="17" fillId="0" borderId="0" xfId="0" applyFont="1" applyFill="1" applyBorder="1" applyAlignment="1">
      <alignment horizontal="right"/>
    </xf>
    <xf numFmtId="0" fontId="14" fillId="0" borderId="9"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0" xfId="0" applyFont="1" applyFill="1" applyBorder="1" applyAlignment="1">
      <alignment horizontal="center" vertical="center" wrapText="1"/>
    </xf>
    <xf numFmtId="175" fontId="12" fillId="0" borderId="42" xfId="1" applyNumberFormat="1" applyFont="1" applyFill="1" applyBorder="1"/>
    <xf numFmtId="175" fontId="12" fillId="0" borderId="0" xfId="1" applyNumberFormat="1" applyFont="1" applyFill="1" applyBorder="1"/>
    <xf numFmtId="174" fontId="14" fillId="0" borderId="42" xfId="0" applyNumberFormat="1" applyFont="1" applyFill="1" applyBorder="1"/>
    <xf numFmtId="174" fontId="14" fillId="0" borderId="3" xfId="0" applyNumberFormat="1" applyFont="1" applyFill="1" applyBorder="1"/>
    <xf numFmtId="174" fontId="14" fillId="0" borderId="0" xfId="0" applyNumberFormat="1" applyFont="1" applyFill="1" applyBorder="1"/>
    <xf numFmtId="0" fontId="14" fillId="0" borderId="4" xfId="0" applyNumberFormat="1" applyFont="1" applyBorder="1"/>
    <xf numFmtId="0" fontId="12" fillId="0" borderId="36" xfId="0" applyNumberFormat="1" applyFont="1" applyFill="1" applyBorder="1" applyAlignment="1">
      <alignment horizontal="center"/>
    </xf>
    <xf numFmtId="168" fontId="12" fillId="0" borderId="43" xfId="0" applyNumberFormat="1" applyFont="1" applyBorder="1"/>
    <xf numFmtId="168" fontId="12" fillId="0" borderId="3" xfId="0" applyNumberFormat="1" applyFont="1" applyBorder="1"/>
    <xf numFmtId="168" fontId="12" fillId="0" borderId="45" xfId="0" applyNumberFormat="1" applyFont="1" applyBorder="1"/>
    <xf numFmtId="0" fontId="16" fillId="0" borderId="3" xfId="0" applyFont="1" applyFill="1" applyBorder="1"/>
    <xf numFmtId="168" fontId="12" fillId="0" borderId="42" xfId="0" applyNumberFormat="1" applyFont="1" applyBorder="1"/>
    <xf numFmtId="168" fontId="12" fillId="0" borderId="47" xfId="0" applyNumberFormat="1" applyFont="1" applyBorder="1"/>
    <xf numFmtId="0" fontId="12" fillId="0" borderId="3" xfId="0" applyFont="1" applyFill="1" applyBorder="1"/>
    <xf numFmtId="174" fontId="14" fillId="0" borderId="47" xfId="0" applyNumberFormat="1" applyFont="1" applyBorder="1" applyAlignment="1">
      <alignment horizontal="center"/>
    </xf>
    <xf numFmtId="0" fontId="14" fillId="0" borderId="50" xfId="0" applyFont="1" applyBorder="1"/>
    <xf numFmtId="0" fontId="12" fillId="0" borderId="46" xfId="0" applyFont="1" applyBorder="1" applyAlignment="1">
      <alignment horizontal="center"/>
    </xf>
    <xf numFmtId="174" fontId="12" fillId="0" borderId="46" xfId="0" applyNumberFormat="1" applyFont="1" applyBorder="1"/>
    <xf numFmtId="174" fontId="12" fillId="0" borderId="49" xfId="0" applyNumberFormat="1" applyFont="1" applyBorder="1"/>
    <xf numFmtId="174" fontId="12" fillId="0" borderId="50" xfId="0" applyNumberFormat="1" applyFont="1" applyBorder="1"/>
    <xf numFmtId="174" fontId="12" fillId="0" borderId="48" xfId="0" applyNumberFormat="1" applyFont="1" applyBorder="1"/>
    <xf numFmtId="174" fontId="12" fillId="0" borderId="51" xfId="0" applyNumberFormat="1" applyFont="1" applyBorder="1"/>
    <xf numFmtId="0" fontId="15" fillId="0" borderId="3" xfId="0" applyFont="1" applyBorder="1" applyAlignment="1">
      <alignment horizontal="right"/>
    </xf>
    <xf numFmtId="0" fontId="19" fillId="0" borderId="3" xfId="0" applyFont="1" applyBorder="1" applyAlignment="1">
      <alignment horizontal="left" indent="1"/>
    </xf>
    <xf numFmtId="0" fontId="17" fillId="0" borderId="3" xfId="0" applyFont="1" applyBorder="1" applyAlignment="1">
      <alignment horizontal="left" indent="1"/>
    </xf>
    <xf numFmtId="0" fontId="14" fillId="0" borderId="3" xfId="0" applyFont="1" applyBorder="1" applyAlignment="1">
      <alignment horizontal="left" indent="1"/>
    </xf>
    <xf numFmtId="0" fontId="12" fillId="0" borderId="3" xfId="0" applyFont="1" applyBorder="1" applyAlignment="1">
      <alignment horizontal="left" indent="2"/>
    </xf>
    <xf numFmtId="0" fontId="14" fillId="0" borderId="43" xfId="0" applyFont="1" applyFill="1" applyBorder="1" applyAlignment="1">
      <alignment vertical="center"/>
    </xf>
    <xf numFmtId="174" fontId="14" fillId="0" borderId="11" xfId="0" applyNumberFormat="1" applyFont="1" applyBorder="1" applyAlignment="1">
      <alignment horizontal="center"/>
    </xf>
    <xf numFmtId="174" fontId="14" fillId="0" borderId="1" xfId="0" applyNumberFormat="1" applyFont="1" applyBorder="1"/>
    <xf numFmtId="174" fontId="14" fillId="0" borderId="44" xfId="0" applyNumberFormat="1" applyFont="1" applyBorder="1"/>
    <xf numFmtId="0" fontId="12" fillId="0" borderId="3" xfId="0" applyFont="1" applyBorder="1" applyAlignment="1">
      <alignment horizontal="left" wrapText="1" indent="1"/>
    </xf>
    <xf numFmtId="0" fontId="14" fillId="0" borderId="52" xfId="0" applyFont="1" applyBorder="1" applyAlignment="1">
      <alignment vertical="top" wrapText="1"/>
    </xf>
    <xf numFmtId="17" fontId="15" fillId="0" borderId="0" xfId="0" quotePrefix="1" applyNumberFormat="1" applyFont="1" applyAlignment="1">
      <alignment horizontal="center"/>
    </xf>
    <xf numFmtId="174" fontId="12" fillId="0" borderId="43" xfId="0" applyNumberFormat="1" applyFont="1" applyBorder="1"/>
    <xf numFmtId="174" fontId="12" fillId="0" borderId="45" xfId="0" applyNumberFormat="1" applyFont="1" applyBorder="1"/>
    <xf numFmtId="0" fontId="14" fillId="0" borderId="50" xfId="0" applyFont="1" applyFill="1" applyBorder="1"/>
    <xf numFmtId="0" fontId="14" fillId="0" borderId="52" xfId="0" applyFont="1" applyFill="1" applyBorder="1"/>
    <xf numFmtId="0" fontId="12" fillId="0" borderId="0" xfId="0" applyFont="1" applyFill="1" applyBorder="1" applyAlignment="1">
      <alignment horizontal="center"/>
    </xf>
    <xf numFmtId="0" fontId="12" fillId="0" borderId="12" xfId="0" applyFont="1" applyBorder="1"/>
    <xf numFmtId="0" fontId="12" fillId="0" borderId="6" xfId="0" applyFont="1" applyBorder="1" applyAlignment="1">
      <alignment horizontal="center"/>
    </xf>
    <xf numFmtId="174" fontId="12" fillId="0" borderId="36" xfId="0" applyNumberFormat="1" applyFont="1" applyBorder="1"/>
    <xf numFmtId="174" fontId="12" fillId="0" borderId="10" xfId="0" applyNumberFormat="1" applyFont="1" applyBorder="1"/>
    <xf numFmtId="174" fontId="12" fillId="0" borderId="4" xfId="0" applyNumberFormat="1" applyFont="1" applyBorder="1"/>
    <xf numFmtId="174" fontId="12" fillId="0" borderId="9" xfId="0" applyNumberFormat="1" applyFont="1" applyBorder="1"/>
    <xf numFmtId="0" fontId="17" fillId="0" borderId="0" xfId="0" applyFont="1" applyAlignment="1">
      <alignment horizontal="right"/>
    </xf>
    <xf numFmtId="43" fontId="12" fillId="0" borderId="0" xfId="1" applyFont="1" applyFill="1" applyBorder="1"/>
    <xf numFmtId="0" fontId="12" fillId="0" borderId="43" xfId="0" applyFont="1" applyBorder="1" applyAlignment="1">
      <alignment horizontal="center" vertical="top" wrapText="1"/>
    </xf>
    <xf numFmtId="167" fontId="12" fillId="0" borderId="0" xfId="6" applyNumberFormat="1" applyFont="1"/>
    <xf numFmtId="0" fontId="12" fillId="0" borderId="42" xfId="0" applyFont="1" applyBorder="1" applyAlignment="1">
      <alignment horizontal="center" vertical="top" wrapText="1"/>
    </xf>
    <xf numFmtId="0" fontId="14" fillId="0" borderId="36" xfId="0" applyFont="1" applyBorder="1"/>
    <xf numFmtId="0" fontId="12" fillId="0" borderId="1" xfId="0" applyFont="1" applyBorder="1" applyAlignment="1">
      <alignment horizontal="center" vertical="top" wrapText="1"/>
    </xf>
    <xf numFmtId="164" fontId="12" fillId="0" borderId="0" xfId="1" applyNumberFormat="1" applyFont="1" applyBorder="1" applyAlignment="1">
      <alignment horizontal="left"/>
    </xf>
    <xf numFmtId="168" fontId="12" fillId="0" borderId="0" xfId="1" applyNumberFormat="1" applyFont="1" applyBorder="1"/>
    <xf numFmtId="167" fontId="12" fillId="0" borderId="0" xfId="6" applyNumberFormat="1" applyFont="1" applyBorder="1"/>
    <xf numFmtId="164" fontId="12" fillId="0" borderId="0" xfId="1" applyNumberFormat="1" applyFont="1" applyBorder="1"/>
    <xf numFmtId="174" fontId="17" fillId="0" borderId="0" xfId="1" applyNumberFormat="1" applyFont="1" applyBorder="1" applyAlignment="1">
      <alignment horizontal="right"/>
    </xf>
    <xf numFmtId="168" fontId="17" fillId="0" borderId="0" xfId="0" applyNumberFormat="1" applyFont="1" applyBorder="1" applyAlignment="1">
      <alignment horizontal="right"/>
    </xf>
    <xf numFmtId="0" fontId="12" fillId="0" borderId="8" xfId="0" applyFont="1" applyBorder="1" applyAlignment="1">
      <alignment horizontal="center" vertical="top" wrapText="1"/>
    </xf>
    <xf numFmtId="0" fontId="12" fillId="0" borderId="3" xfId="0" applyFont="1" applyBorder="1" applyAlignment="1">
      <alignment horizontal="center" vertical="top" wrapText="1"/>
    </xf>
    <xf numFmtId="2" fontId="12" fillId="0" borderId="8" xfId="1" applyNumberFormat="1" applyFont="1" applyBorder="1" applyAlignment="1">
      <alignment horizontal="center" vertical="top" wrapText="1"/>
    </xf>
    <xf numFmtId="2" fontId="12" fillId="0" borderId="1" xfId="1" applyNumberFormat="1" applyFont="1" applyBorder="1" applyAlignment="1">
      <alignment horizontal="center" vertical="top" wrapText="1"/>
    </xf>
    <xf numFmtId="2" fontId="12" fillId="0" borderId="3" xfId="1" applyNumberFormat="1" applyFont="1" applyBorder="1" applyAlignment="1">
      <alignment horizontal="center" vertical="top" wrapText="1"/>
    </xf>
    <xf numFmtId="167" fontId="12" fillId="0" borderId="3" xfId="0" applyNumberFormat="1" applyFont="1" applyBorder="1" applyAlignment="1">
      <alignment horizontal="center" vertical="top" wrapText="1"/>
    </xf>
    <xf numFmtId="167" fontId="12" fillId="0" borderId="1" xfId="0" applyNumberFormat="1" applyFont="1" applyFill="1" applyBorder="1" applyAlignment="1">
      <alignment horizontal="center" vertical="top" wrapText="1"/>
    </xf>
    <xf numFmtId="175" fontId="12" fillId="0" borderId="42" xfId="0" applyNumberFormat="1" applyFont="1" applyBorder="1" applyAlignment="1">
      <alignment horizontal="center" vertical="top" wrapText="1"/>
    </xf>
    <xf numFmtId="175" fontId="12" fillId="0" borderId="8" xfId="0" applyNumberFormat="1" applyFont="1" applyBorder="1" applyAlignment="1">
      <alignment horizontal="center" vertical="top" wrapText="1"/>
    </xf>
    <xf numFmtId="175" fontId="12" fillId="0" borderId="3" xfId="0" applyNumberFormat="1" applyFont="1" applyBorder="1" applyAlignment="1">
      <alignment horizontal="center" vertical="top" wrapText="1"/>
    </xf>
    <xf numFmtId="175" fontId="12" fillId="0" borderId="0" xfId="0" applyNumberFormat="1" applyFont="1" applyBorder="1" applyAlignment="1">
      <alignment horizontal="center" vertical="top" wrapText="1"/>
    </xf>
    <xf numFmtId="0" fontId="17" fillId="0" borderId="0" xfId="0" applyFont="1"/>
    <xf numFmtId="165" fontId="17" fillId="0" borderId="0" xfId="1" applyNumberFormat="1" applyFont="1" applyBorder="1" applyAlignment="1">
      <alignment vertical="top" wrapText="1"/>
    </xf>
    <xf numFmtId="165" fontId="17" fillId="0" borderId="0" xfId="1" applyNumberFormat="1" applyFont="1" applyFill="1" applyBorder="1" applyAlignment="1">
      <alignment vertical="top" wrapText="1"/>
    </xf>
    <xf numFmtId="0" fontId="19" fillId="0" borderId="0" xfId="0" applyFont="1"/>
    <xf numFmtId="0" fontId="16" fillId="0" borderId="12" xfId="0" applyFont="1" applyBorder="1" applyAlignment="1">
      <alignment horizontal="left" wrapText="1"/>
    </xf>
    <xf numFmtId="0" fontId="12" fillId="0" borderId="66" xfId="0" applyFont="1" applyBorder="1" applyAlignment="1">
      <alignment horizontal="left" vertical="top" wrapText="1"/>
    </xf>
    <xf numFmtId="0" fontId="12" fillId="0" borderId="45" xfId="0" applyFont="1" applyBorder="1" applyAlignment="1">
      <alignment horizontal="center" vertical="top" wrapText="1"/>
    </xf>
    <xf numFmtId="0" fontId="12" fillId="0" borderId="7" xfId="0" applyFont="1" applyBorder="1" applyAlignment="1">
      <alignment horizontal="center" vertical="top" wrapText="1"/>
    </xf>
    <xf numFmtId="0" fontId="12" fillId="0" borderId="12" xfId="0" applyFont="1" applyBorder="1" applyAlignment="1">
      <alignment horizontal="center" vertical="top" wrapText="1"/>
    </xf>
    <xf numFmtId="0" fontId="12" fillId="0" borderId="6" xfId="0" applyFont="1" applyBorder="1" applyAlignment="1">
      <alignment horizontal="center" vertical="top" wrapText="1"/>
    </xf>
    <xf numFmtId="0" fontId="12" fillId="0" borderId="67" xfId="0" applyFont="1" applyBorder="1" applyAlignment="1">
      <alignment horizontal="left" vertical="top" wrapText="1"/>
    </xf>
    <xf numFmtId="167" fontId="12" fillId="0" borderId="47" xfId="6" applyNumberFormat="1" applyFont="1" applyFill="1" applyBorder="1" applyAlignment="1">
      <alignment horizontal="center" vertical="top" wrapText="1"/>
    </xf>
    <xf numFmtId="167" fontId="12" fillId="0" borderId="42" xfId="6" applyNumberFormat="1" applyFont="1" applyFill="1" applyBorder="1" applyAlignment="1">
      <alignment horizontal="center" vertical="top" wrapText="1"/>
    </xf>
    <xf numFmtId="167" fontId="12" fillId="0" borderId="8" xfId="6" applyNumberFormat="1" applyFont="1" applyFill="1" applyBorder="1" applyAlignment="1">
      <alignment horizontal="center" vertical="top" wrapText="1"/>
    </xf>
    <xf numFmtId="167" fontId="12" fillId="0" borderId="3" xfId="6" applyNumberFormat="1" applyFont="1" applyFill="1" applyBorder="1" applyAlignment="1">
      <alignment horizontal="center" vertical="top" wrapText="1"/>
    </xf>
    <xf numFmtId="167" fontId="12" fillId="0" borderId="0" xfId="6" applyNumberFormat="1" applyFont="1" applyFill="1" applyBorder="1" applyAlignment="1">
      <alignment horizontal="center" vertical="top" wrapText="1"/>
    </xf>
    <xf numFmtId="0" fontId="12" fillId="0" borderId="3" xfId="0" applyFont="1" applyBorder="1" applyAlignment="1">
      <alignment horizontal="left" vertical="top" wrapText="1" indent="1"/>
    </xf>
    <xf numFmtId="0" fontId="12" fillId="0" borderId="47" xfId="6" applyNumberFormat="1" applyFont="1" applyFill="1" applyBorder="1" applyAlignment="1">
      <alignment horizontal="center" vertical="top" wrapText="1"/>
    </xf>
    <xf numFmtId="0" fontId="12" fillId="0" borderId="42" xfId="6" applyNumberFormat="1" applyFont="1" applyFill="1" applyBorder="1" applyAlignment="1">
      <alignment horizontal="center" vertical="top" wrapText="1"/>
    </xf>
    <xf numFmtId="0" fontId="12" fillId="0" borderId="8" xfId="6" applyNumberFormat="1" applyFont="1" applyFill="1" applyBorder="1" applyAlignment="1">
      <alignment horizontal="center" vertical="top" wrapText="1"/>
    </xf>
    <xf numFmtId="0" fontId="16" fillId="0" borderId="3" xfId="0" applyFont="1" applyBorder="1" applyAlignment="1">
      <alignment horizontal="left" wrapText="1"/>
    </xf>
    <xf numFmtId="0" fontId="12" fillId="0" borderId="47" xfId="0" applyFont="1" applyFill="1" applyBorder="1" applyAlignment="1">
      <alignment horizontal="center" vertical="top" wrapText="1"/>
    </xf>
    <xf numFmtId="0" fontId="12" fillId="0" borderId="42"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0" xfId="0" applyFont="1" applyFill="1" applyBorder="1" applyAlignment="1">
      <alignment horizontal="center" vertical="top" wrapText="1"/>
    </xf>
    <xf numFmtId="176" fontId="12" fillId="0" borderId="47" xfId="1" applyNumberFormat="1" applyFont="1" applyFill="1" applyBorder="1" applyAlignment="1">
      <alignment vertical="top" wrapText="1"/>
    </xf>
    <xf numFmtId="176" fontId="12" fillId="0" borderId="42" xfId="1" applyNumberFormat="1" applyFont="1" applyFill="1" applyBorder="1" applyAlignment="1">
      <alignment vertical="top" wrapText="1"/>
    </xf>
    <xf numFmtId="176" fontId="12" fillId="0" borderId="8" xfId="1" applyNumberFormat="1" applyFont="1" applyFill="1" applyBorder="1" applyAlignment="1">
      <alignment vertical="top" wrapText="1"/>
    </xf>
    <xf numFmtId="176" fontId="12" fillId="0" borderId="3" xfId="1" applyNumberFormat="1" applyFont="1" applyFill="1" applyBorder="1" applyAlignment="1">
      <alignment vertical="top" wrapText="1"/>
    </xf>
    <xf numFmtId="176" fontId="12" fillId="0" borderId="0" xfId="1" applyNumberFormat="1" applyFont="1" applyFill="1" applyBorder="1" applyAlignment="1">
      <alignment vertical="top" wrapText="1"/>
    </xf>
    <xf numFmtId="176" fontId="12" fillId="0" borderId="47" xfId="0" applyNumberFormat="1" applyFont="1" applyFill="1" applyBorder="1" applyAlignment="1">
      <alignment horizontal="center" vertical="top" wrapText="1"/>
    </xf>
    <xf numFmtId="176" fontId="12" fillId="0" borderId="42" xfId="0" applyNumberFormat="1" applyFont="1" applyFill="1" applyBorder="1" applyAlignment="1">
      <alignment horizontal="center" vertical="top" wrapText="1"/>
    </xf>
    <xf numFmtId="176" fontId="12" fillId="0" borderId="8" xfId="0" applyNumberFormat="1" applyFont="1" applyFill="1" applyBorder="1" applyAlignment="1">
      <alignment horizontal="center" vertical="top" wrapText="1"/>
    </xf>
    <xf numFmtId="176" fontId="12" fillId="0" borderId="3" xfId="0" applyNumberFormat="1" applyFont="1" applyFill="1" applyBorder="1" applyAlignment="1">
      <alignment horizontal="center" vertical="top" wrapText="1"/>
    </xf>
    <xf numFmtId="176" fontId="12" fillId="0" borderId="0" xfId="0" applyNumberFormat="1" applyFont="1" applyFill="1" applyBorder="1" applyAlignment="1">
      <alignment horizontal="center" vertical="top" wrapText="1"/>
    </xf>
    <xf numFmtId="167" fontId="12" fillId="0" borderId="47" xfId="0" applyNumberFormat="1" applyFont="1" applyFill="1" applyBorder="1" applyAlignment="1">
      <alignment horizontal="center" vertical="top" wrapText="1"/>
    </xf>
    <xf numFmtId="167" fontId="12" fillId="0" borderId="42" xfId="0" applyNumberFormat="1" applyFont="1" applyFill="1" applyBorder="1" applyAlignment="1">
      <alignment horizontal="center" vertical="top" wrapText="1"/>
    </xf>
    <xf numFmtId="167" fontId="12" fillId="0" borderId="8" xfId="0" applyNumberFormat="1" applyFont="1" applyFill="1" applyBorder="1" applyAlignment="1">
      <alignment horizontal="center" vertical="top" wrapText="1"/>
    </xf>
    <xf numFmtId="167" fontId="12" fillId="0" borderId="3" xfId="0" applyNumberFormat="1" applyFont="1" applyFill="1" applyBorder="1" applyAlignment="1">
      <alignment horizontal="center" vertical="top" wrapText="1"/>
    </xf>
    <xf numFmtId="167" fontId="12" fillId="0" borderId="0" xfId="0" applyNumberFormat="1" applyFont="1" applyFill="1" applyBorder="1" applyAlignment="1">
      <alignment horizontal="center" vertical="top" wrapText="1"/>
    </xf>
    <xf numFmtId="0" fontId="16" fillId="0" borderId="3" xfId="0" applyFont="1" applyBorder="1" applyAlignment="1">
      <alignment horizontal="left" vertical="top" wrapText="1"/>
    </xf>
    <xf numFmtId="0" fontId="16" fillId="0" borderId="67" xfId="0" applyFont="1" applyBorder="1" applyAlignment="1">
      <alignment horizontal="left" vertical="top" wrapText="1"/>
    </xf>
    <xf numFmtId="9" fontId="12" fillId="0" borderId="47" xfId="0" applyNumberFormat="1" applyFont="1" applyFill="1" applyBorder="1" applyAlignment="1">
      <alignment horizontal="center" vertical="top" wrapText="1"/>
    </xf>
    <xf numFmtId="9" fontId="12" fillId="0" borderId="42" xfId="0" applyNumberFormat="1" applyFont="1" applyFill="1" applyBorder="1" applyAlignment="1">
      <alignment horizontal="center" vertical="top" wrapText="1"/>
    </xf>
    <xf numFmtId="9" fontId="12" fillId="0" borderId="8" xfId="0" applyNumberFormat="1" applyFont="1" applyFill="1" applyBorder="1" applyAlignment="1">
      <alignment horizontal="center" vertical="top" wrapText="1"/>
    </xf>
    <xf numFmtId="9" fontId="12" fillId="0" borderId="3" xfId="0" applyNumberFormat="1" applyFont="1" applyFill="1" applyBorder="1" applyAlignment="1">
      <alignment horizontal="center" vertical="top" wrapText="1"/>
    </xf>
    <xf numFmtId="9" fontId="12" fillId="0" borderId="0" xfId="0" applyNumberFormat="1" applyFont="1" applyFill="1" applyBorder="1" applyAlignment="1">
      <alignment horizontal="center" vertical="top" wrapText="1"/>
    </xf>
    <xf numFmtId="0" fontId="12" fillId="0" borderId="68" xfId="0" applyFont="1" applyBorder="1" applyAlignment="1">
      <alignment horizontal="left" vertical="top" wrapText="1" indent="1"/>
    </xf>
    <xf numFmtId="0" fontId="12" fillId="0" borderId="69" xfId="0" applyFont="1" applyBorder="1" applyAlignment="1">
      <alignment horizontal="left" vertical="top" wrapText="1"/>
    </xf>
    <xf numFmtId="176" fontId="12" fillId="0" borderId="70" xfId="1" applyNumberFormat="1" applyFont="1" applyFill="1" applyBorder="1" applyAlignment="1">
      <alignment vertical="top" wrapText="1"/>
    </xf>
    <xf numFmtId="176" fontId="12" fillId="0" borderId="71" xfId="1" applyNumberFormat="1" applyFont="1" applyFill="1" applyBorder="1" applyAlignment="1">
      <alignment vertical="top" wrapText="1"/>
    </xf>
    <xf numFmtId="176" fontId="12" fillId="0" borderId="72" xfId="1" applyNumberFormat="1" applyFont="1" applyFill="1" applyBorder="1" applyAlignment="1">
      <alignment vertical="top" wrapText="1"/>
    </xf>
    <xf numFmtId="176" fontId="12" fillId="0" borderId="68" xfId="1" applyNumberFormat="1" applyFont="1" applyFill="1" applyBorder="1" applyAlignment="1">
      <alignment vertical="top" wrapText="1"/>
    </xf>
    <xf numFmtId="176" fontId="12" fillId="0" borderId="73" xfId="1" applyNumberFormat="1" applyFont="1" applyFill="1" applyBorder="1" applyAlignment="1">
      <alignment vertical="top" wrapText="1"/>
    </xf>
    <xf numFmtId="168" fontId="12" fillId="0" borderId="3" xfId="0" applyNumberFormat="1" applyFont="1" applyFill="1" applyBorder="1"/>
    <xf numFmtId="168" fontId="12" fillId="0" borderId="42" xfId="0" applyNumberFormat="1" applyFont="1" applyFill="1" applyBorder="1"/>
    <xf numFmtId="167" fontId="12" fillId="0" borderId="0" xfId="0" applyNumberFormat="1" applyFont="1" applyFill="1" applyAlignment="1">
      <alignment horizontal="center"/>
    </xf>
    <xf numFmtId="0" fontId="14" fillId="0" borderId="74" xfId="0" applyFont="1" applyFill="1" applyBorder="1" applyAlignment="1">
      <alignment horizontal="center" vertical="top" wrapText="1"/>
    </xf>
    <xf numFmtId="0" fontId="16" fillId="0" borderId="12" xfId="0" applyNumberFormat="1" applyFont="1" applyBorder="1" applyAlignment="1">
      <alignment horizontal="left" wrapText="1"/>
    </xf>
    <xf numFmtId="0" fontId="12" fillId="0" borderId="75" xfId="0" applyFont="1" applyBorder="1" applyAlignment="1">
      <alignment horizontal="left" vertical="top" wrapText="1"/>
    </xf>
    <xf numFmtId="0" fontId="12" fillId="0" borderId="66" xfId="0" applyFont="1" applyBorder="1" applyAlignment="1">
      <alignment horizontal="center" vertical="top" wrapText="1"/>
    </xf>
    <xf numFmtId="0" fontId="12" fillId="0" borderId="11" xfId="0" applyFont="1" applyBorder="1" applyAlignment="1">
      <alignment horizontal="center" vertical="top" wrapText="1"/>
    </xf>
    <xf numFmtId="0" fontId="12" fillId="0" borderId="3" xfId="0" applyNumberFormat="1" applyFont="1" applyBorder="1" applyAlignment="1">
      <alignment horizontal="left" vertical="top" wrapText="1" indent="1"/>
    </xf>
    <xf numFmtId="0" fontId="12" fillId="0" borderId="3" xfId="0" applyNumberFormat="1" applyFont="1" applyBorder="1" applyAlignment="1">
      <alignment horizontal="left" vertical="top" wrapText="1"/>
    </xf>
    <xf numFmtId="164" fontId="12" fillId="0" borderId="76" xfId="1" applyNumberFormat="1" applyFont="1" applyFill="1" applyBorder="1" applyAlignment="1">
      <alignment horizontal="left" vertical="top" wrapText="1"/>
    </xf>
    <xf numFmtId="0" fontId="16" fillId="0" borderId="3" xfId="0" applyNumberFormat="1" applyFont="1" applyBorder="1" applyAlignment="1">
      <alignment horizontal="left" wrapText="1"/>
    </xf>
    <xf numFmtId="0" fontId="12" fillId="0" borderId="67" xfId="0" applyFont="1" applyBorder="1" applyAlignment="1">
      <alignment horizontal="center" vertical="top" wrapText="1"/>
    </xf>
    <xf numFmtId="0" fontId="12" fillId="0" borderId="0" xfId="0" applyFont="1" applyBorder="1" applyAlignment="1">
      <alignment horizontal="center" vertical="top" wrapText="1"/>
    </xf>
    <xf numFmtId="175" fontId="12" fillId="0" borderId="76" xfId="1" applyNumberFormat="1" applyFont="1" applyFill="1" applyBorder="1" applyAlignment="1">
      <alignment horizontal="left" vertical="top" wrapText="1"/>
    </xf>
    <xf numFmtId="175" fontId="12" fillId="0" borderId="67" xfId="0" applyNumberFormat="1" applyFont="1" applyBorder="1" applyAlignment="1">
      <alignment horizontal="center" vertical="top" wrapText="1"/>
    </xf>
    <xf numFmtId="175" fontId="12" fillId="0" borderId="1" xfId="0" applyNumberFormat="1" applyFont="1" applyBorder="1" applyAlignment="1">
      <alignment horizontal="center" vertical="top" wrapText="1"/>
    </xf>
    <xf numFmtId="2" fontId="12" fillId="0" borderId="42" xfId="1" applyNumberFormat="1" applyFont="1" applyBorder="1" applyAlignment="1">
      <alignment horizontal="center" vertical="top" wrapText="1"/>
    </xf>
    <xf numFmtId="2" fontId="12" fillId="0" borderId="67" xfId="1" applyNumberFormat="1" applyFont="1" applyBorder="1" applyAlignment="1">
      <alignment horizontal="center" vertical="top" wrapText="1"/>
    </xf>
    <xf numFmtId="2" fontId="12" fillId="0" borderId="0" xfId="1" applyNumberFormat="1" applyFont="1" applyBorder="1" applyAlignment="1">
      <alignment horizontal="center" vertical="top" wrapText="1"/>
    </xf>
    <xf numFmtId="0" fontId="16" fillId="0" borderId="3" xfId="0" applyNumberFormat="1" applyFont="1" applyBorder="1" applyAlignment="1">
      <alignment horizontal="left" vertical="top" wrapText="1"/>
    </xf>
    <xf numFmtId="164" fontId="12" fillId="0" borderId="76" xfId="1" applyNumberFormat="1" applyFont="1" applyBorder="1" applyAlignment="1">
      <alignment horizontal="left" vertical="top" wrapText="1"/>
    </xf>
    <xf numFmtId="167" fontId="12" fillId="0" borderId="67" xfId="0" applyNumberFormat="1" applyFont="1" applyBorder="1" applyAlignment="1">
      <alignment horizontal="center" vertical="top" wrapText="1"/>
    </xf>
    <xf numFmtId="9" fontId="12" fillId="0" borderId="1" xfId="0" applyNumberFormat="1" applyFont="1" applyFill="1" applyBorder="1" applyAlignment="1">
      <alignment horizontal="center" vertical="top" wrapText="1"/>
    </xf>
    <xf numFmtId="164" fontId="12" fillId="3" borderId="76" xfId="1" applyNumberFormat="1" applyFont="1" applyFill="1" applyBorder="1" applyAlignment="1">
      <alignment horizontal="left" vertical="top" wrapText="1"/>
    </xf>
    <xf numFmtId="164" fontId="16" fillId="3" borderId="76" xfId="1" applyNumberFormat="1" applyFont="1" applyFill="1" applyBorder="1" applyAlignment="1">
      <alignment horizontal="left" vertical="top" wrapText="1"/>
    </xf>
    <xf numFmtId="167" fontId="12" fillId="0" borderId="42" xfId="0" applyNumberFormat="1" applyFont="1" applyBorder="1" applyAlignment="1">
      <alignment horizontal="center" vertical="top" wrapText="1"/>
    </xf>
    <xf numFmtId="0" fontId="12" fillId="0" borderId="4" xfId="0" applyFont="1" applyBorder="1" applyAlignment="1">
      <alignment horizontal="left" vertical="top" wrapText="1"/>
    </xf>
    <xf numFmtId="164" fontId="12" fillId="0" borderId="77" xfId="1" applyNumberFormat="1" applyFont="1" applyBorder="1" applyAlignment="1">
      <alignment horizontal="left" vertical="top" wrapText="1"/>
    </xf>
    <xf numFmtId="165" fontId="12" fillId="0" borderId="4" xfId="1" applyNumberFormat="1" applyFont="1" applyBorder="1" applyAlignment="1">
      <alignment vertical="top" wrapText="1"/>
    </xf>
    <xf numFmtId="165" fontId="12" fillId="0" borderId="36" xfId="1" applyNumberFormat="1" applyFont="1" applyBorder="1" applyAlignment="1">
      <alignment vertical="top" wrapText="1"/>
    </xf>
    <xf numFmtId="165" fontId="12" fillId="0" borderId="37" xfId="1" applyNumberFormat="1" applyFont="1" applyBorder="1" applyAlignment="1">
      <alignment vertical="top" wrapText="1"/>
    </xf>
    <xf numFmtId="165" fontId="12" fillId="0" borderId="5" xfId="1" applyNumberFormat="1" applyFont="1" applyFill="1" applyBorder="1" applyAlignment="1">
      <alignment vertical="top" wrapText="1"/>
    </xf>
    <xf numFmtId="165" fontId="12" fillId="0" borderId="9" xfId="1" applyNumberFormat="1" applyFont="1" applyFill="1" applyBorder="1" applyAlignment="1">
      <alignment vertical="top" wrapText="1"/>
    </xf>
    <xf numFmtId="165" fontId="12" fillId="0" borderId="36" xfId="1" applyNumberFormat="1" applyFont="1" applyFill="1" applyBorder="1" applyAlignment="1">
      <alignment vertical="top" wrapText="1"/>
    </xf>
    <xf numFmtId="165" fontId="12" fillId="0" borderId="10" xfId="1" applyNumberFormat="1" applyFont="1" applyFill="1" applyBorder="1" applyAlignment="1">
      <alignment vertical="top" wrapText="1"/>
    </xf>
    <xf numFmtId="0" fontId="16" fillId="0" borderId="66" xfId="0" applyFont="1" applyBorder="1" applyAlignment="1">
      <alignment horizontal="center"/>
    </xf>
    <xf numFmtId="0" fontId="16" fillId="0" borderId="42" xfId="0" applyFont="1" applyBorder="1" applyAlignment="1">
      <alignment horizontal="center"/>
    </xf>
    <xf numFmtId="0" fontId="12" fillId="0" borderId="66" xfId="0" applyFont="1" applyBorder="1"/>
    <xf numFmtId="0" fontId="12" fillId="0" borderId="75" xfId="0" applyFont="1" applyBorder="1"/>
    <xf numFmtId="0" fontId="12" fillId="0" borderId="45" xfId="0" applyFont="1" applyBorder="1"/>
    <xf numFmtId="0" fontId="12" fillId="0" borderId="67" xfId="0" applyFont="1" applyBorder="1" applyAlignment="1">
      <alignment horizontal="center"/>
    </xf>
    <xf numFmtId="174" fontId="12" fillId="0" borderId="67" xfId="0" applyNumberFormat="1" applyFont="1" applyFill="1" applyBorder="1"/>
    <xf numFmtId="174" fontId="12" fillId="0" borderId="76" xfId="0" applyNumberFormat="1" applyFont="1" applyFill="1" applyBorder="1"/>
    <xf numFmtId="176" fontId="12" fillId="0" borderId="0" xfId="1" applyNumberFormat="1" applyFont="1" applyFill="1" applyBorder="1" applyAlignment="1"/>
    <xf numFmtId="176" fontId="12" fillId="0" borderId="67" xfId="1" applyNumberFormat="1" applyFont="1" applyFill="1" applyBorder="1" applyAlignment="1"/>
    <xf numFmtId="176" fontId="12" fillId="0" borderId="76" xfId="1" applyNumberFormat="1" applyFont="1" applyFill="1" applyBorder="1" applyAlignment="1"/>
    <xf numFmtId="176" fontId="12" fillId="0" borderId="3" xfId="1" applyNumberFormat="1" applyFont="1" applyFill="1" applyBorder="1" applyAlignment="1"/>
    <xf numFmtId="176" fontId="12" fillId="0" borderId="47" xfId="1" applyNumberFormat="1" applyFont="1" applyFill="1" applyBorder="1" applyAlignment="1"/>
    <xf numFmtId="0" fontId="12" fillId="0" borderId="67" xfId="0" applyFont="1" applyFill="1" applyBorder="1" applyAlignment="1">
      <alignment horizontal="center"/>
    </xf>
    <xf numFmtId="170" fontId="12" fillId="0" borderId="67" xfId="0" applyNumberFormat="1" applyFont="1" applyFill="1" applyBorder="1" applyAlignment="1">
      <alignment horizontal="center"/>
    </xf>
    <xf numFmtId="170" fontId="12" fillId="0" borderId="76" xfId="6" applyNumberFormat="1" applyFont="1" applyFill="1" applyBorder="1" applyAlignment="1">
      <alignment horizontal="center"/>
    </xf>
    <xf numFmtId="170" fontId="12" fillId="0" borderId="3" xfId="6" applyNumberFormat="1" applyFont="1" applyFill="1" applyBorder="1" applyAlignment="1">
      <alignment horizontal="center"/>
    </xf>
    <xf numFmtId="170" fontId="12" fillId="0" borderId="67" xfId="6" applyNumberFormat="1" applyFont="1" applyFill="1" applyBorder="1" applyAlignment="1">
      <alignment horizontal="center"/>
    </xf>
    <xf numFmtId="170" fontId="12" fillId="0" borderId="0" xfId="6" applyNumberFormat="1" applyFont="1" applyFill="1" applyBorder="1" applyAlignment="1">
      <alignment horizontal="center"/>
    </xf>
    <xf numFmtId="170" fontId="12" fillId="0" borderId="47" xfId="6" applyNumberFormat="1" applyFont="1" applyFill="1" applyBorder="1" applyAlignment="1">
      <alignment horizontal="center"/>
    </xf>
    <xf numFmtId="9" fontId="12" fillId="0" borderId="67" xfId="6" applyFont="1" applyBorder="1" applyAlignment="1">
      <alignment horizontal="center"/>
    </xf>
    <xf numFmtId="9" fontId="12" fillId="0" borderId="37" xfId="6" applyFont="1" applyBorder="1" applyAlignment="1">
      <alignment horizontal="center"/>
    </xf>
    <xf numFmtId="9" fontId="12" fillId="0" borderId="36" xfId="6" applyFont="1" applyBorder="1" applyAlignment="1">
      <alignment horizontal="center"/>
    </xf>
    <xf numFmtId="9" fontId="12" fillId="0" borderId="9" xfId="6" applyFont="1" applyBorder="1" applyAlignment="1">
      <alignment horizontal="center"/>
    </xf>
    <xf numFmtId="9" fontId="12" fillId="0" borderId="77" xfId="6" applyFont="1" applyBorder="1" applyAlignment="1">
      <alignment horizontal="center"/>
    </xf>
    <xf numFmtId="9" fontId="12" fillId="0" borderId="4" xfId="6" applyFont="1" applyBorder="1" applyAlignment="1">
      <alignment horizontal="center"/>
    </xf>
    <xf numFmtId="9" fontId="12" fillId="0" borderId="64" xfId="6" applyFont="1" applyBorder="1" applyAlignment="1">
      <alignment horizontal="center"/>
    </xf>
    <xf numFmtId="9" fontId="12" fillId="0" borderId="6" xfId="6" applyFont="1" applyBorder="1" applyAlignment="1">
      <alignment horizontal="center"/>
    </xf>
    <xf numFmtId="9" fontId="12" fillId="0" borderId="0" xfId="6" applyFont="1" applyBorder="1" applyAlignment="1">
      <alignment horizontal="center"/>
    </xf>
    <xf numFmtId="0" fontId="16" fillId="0" borderId="1" xfId="0" applyFont="1" applyBorder="1" applyAlignment="1">
      <alignment horizontal="left"/>
    </xf>
    <xf numFmtId="0" fontId="12" fillId="0" borderId="1" xfId="0" applyFont="1" applyBorder="1" applyAlignment="1"/>
    <xf numFmtId="0" fontId="12" fillId="0" borderId="8" xfId="0" applyFont="1" applyBorder="1" applyAlignment="1">
      <alignment horizontal="center"/>
    </xf>
    <xf numFmtId="170" fontId="12" fillId="0" borderId="1" xfId="6" applyNumberFormat="1" applyFont="1" applyFill="1" applyBorder="1" applyAlignment="1">
      <alignment horizontal="center"/>
    </xf>
    <xf numFmtId="170" fontId="12" fillId="0" borderId="8" xfId="6" applyNumberFormat="1" applyFont="1" applyFill="1" applyBorder="1" applyAlignment="1">
      <alignment horizontal="center"/>
    </xf>
    <xf numFmtId="174" fontId="12" fillId="0" borderId="1" xfId="0" applyNumberFormat="1" applyFont="1" applyBorder="1"/>
    <xf numFmtId="0" fontId="12" fillId="0" borderId="1" xfId="0" applyFont="1" applyBorder="1" applyAlignment="1">
      <alignment horizontal="left"/>
    </xf>
    <xf numFmtId="9" fontId="12" fillId="0" borderId="8" xfId="0" applyNumberFormat="1" applyFont="1" applyBorder="1" applyAlignment="1">
      <alignment horizontal="center"/>
    </xf>
    <xf numFmtId="0" fontId="12" fillId="0" borderId="32" xfId="0" applyFont="1" applyBorder="1" applyAlignment="1">
      <alignment horizontal="left"/>
    </xf>
    <xf numFmtId="0" fontId="12" fillId="0" borderId="78" xfId="0" applyFont="1" applyBorder="1" applyAlignment="1">
      <alignment horizontal="center"/>
    </xf>
    <xf numFmtId="0" fontId="16" fillId="0" borderId="0" xfId="0" applyFont="1"/>
    <xf numFmtId="174" fontId="12" fillId="0" borderId="0" xfId="0" applyNumberFormat="1" applyFont="1" applyAlignment="1">
      <alignment horizontal="center"/>
    </xf>
    <xf numFmtId="0" fontId="12" fillId="0" borderId="66" xfId="0" applyFont="1" applyBorder="1" applyAlignment="1">
      <alignment horizontal="center"/>
    </xf>
    <xf numFmtId="168" fontId="14" fillId="0" borderId="43" xfId="0" applyNumberFormat="1" applyFont="1" applyBorder="1"/>
    <xf numFmtId="168" fontId="14" fillId="0" borderId="3" xfId="0" applyNumberFormat="1" applyFont="1" applyBorder="1"/>
    <xf numFmtId="0" fontId="14" fillId="0" borderId="42" xfId="0" applyNumberFormat="1" applyFont="1" applyFill="1" applyBorder="1" applyAlignment="1">
      <alignment horizontal="center"/>
    </xf>
    <xf numFmtId="0" fontId="12" fillId="0" borderId="67" xfId="0" quotePrefix="1" applyFont="1" applyBorder="1" applyAlignment="1">
      <alignment horizontal="center"/>
    </xf>
    <xf numFmtId="0" fontId="12" fillId="0" borderId="67" xfId="0" quotePrefix="1" applyFont="1" applyFill="1" applyBorder="1" applyAlignment="1">
      <alignment horizontal="center"/>
    </xf>
    <xf numFmtId="164" fontId="12" fillId="0" borderId="42" xfId="1" applyNumberFormat="1" applyFont="1" applyFill="1" applyBorder="1"/>
    <xf numFmtId="164" fontId="12" fillId="0" borderId="8" xfId="1" applyNumberFormat="1" applyFont="1" applyFill="1" applyBorder="1"/>
    <xf numFmtId="164" fontId="12" fillId="0" borderId="3" xfId="1" applyNumberFormat="1" applyFont="1" applyFill="1" applyBorder="1"/>
    <xf numFmtId="164" fontId="12" fillId="0" borderId="76" xfId="1" applyNumberFormat="1" applyFont="1" applyFill="1" applyBorder="1"/>
    <xf numFmtId="164" fontId="12" fillId="0" borderId="0" xfId="1" applyNumberFormat="1" applyFont="1" applyFill="1" applyBorder="1"/>
    <xf numFmtId="173" fontId="14" fillId="0" borderId="46" xfId="1" applyNumberFormat="1" applyFont="1" applyFill="1" applyBorder="1"/>
    <xf numFmtId="173" fontId="14" fillId="0" borderId="49" xfId="1" applyNumberFormat="1" applyFont="1" applyFill="1" applyBorder="1"/>
    <xf numFmtId="173" fontId="14" fillId="0" borderId="50" xfId="1" applyNumberFormat="1" applyFont="1" applyFill="1" applyBorder="1"/>
    <xf numFmtId="173" fontId="14" fillId="0" borderId="79" xfId="1" applyNumberFormat="1" applyFont="1" applyFill="1" applyBorder="1"/>
    <xf numFmtId="173" fontId="14" fillId="0" borderId="48" xfId="1" applyNumberFormat="1" applyFont="1" applyFill="1" applyBorder="1"/>
    <xf numFmtId="173" fontId="14" fillId="0" borderId="46" xfId="0" applyNumberFormat="1" applyFont="1" applyFill="1" applyBorder="1"/>
    <xf numFmtId="173" fontId="14" fillId="0" borderId="49" xfId="0" applyNumberFormat="1" applyFont="1" applyFill="1" applyBorder="1"/>
    <xf numFmtId="173" fontId="12" fillId="0" borderId="0" xfId="0" applyNumberFormat="1" applyFont="1" applyFill="1" applyBorder="1"/>
    <xf numFmtId="173" fontId="14" fillId="0" borderId="42" xfId="0" applyNumberFormat="1" applyFont="1" applyFill="1" applyBorder="1"/>
    <xf numFmtId="173" fontId="14" fillId="0" borderId="8" xfId="0" applyNumberFormat="1" applyFont="1" applyFill="1" applyBorder="1"/>
    <xf numFmtId="0" fontId="16" fillId="0" borderId="50" xfId="0" applyFont="1" applyBorder="1"/>
    <xf numFmtId="0" fontId="12" fillId="0" borderId="80" xfId="0" applyFont="1" applyBorder="1" applyAlignment="1">
      <alignment horizontal="center"/>
    </xf>
    <xf numFmtId="168" fontId="12" fillId="0" borderId="46" xfId="0" applyNumberFormat="1" applyFont="1" applyFill="1" applyBorder="1"/>
    <xf numFmtId="168" fontId="12" fillId="0" borderId="49" xfId="0" applyNumberFormat="1" applyFont="1" applyFill="1" applyBorder="1"/>
    <xf numFmtId="168" fontId="12" fillId="0" borderId="50" xfId="0" applyNumberFormat="1" applyFont="1" applyFill="1" applyBorder="1"/>
    <xf numFmtId="168" fontId="12" fillId="0" borderId="79" xfId="0" applyNumberFormat="1" applyFont="1" applyFill="1" applyBorder="1"/>
    <xf numFmtId="168" fontId="12" fillId="0" borderId="48" xfId="0" applyNumberFormat="1" applyFont="1" applyFill="1" applyBorder="1"/>
    <xf numFmtId="0" fontId="12" fillId="0" borderId="0" xfId="1" applyNumberFormat="1" applyFont="1" applyFill="1" applyBorder="1" applyAlignment="1">
      <alignment horizontal="center"/>
    </xf>
    <xf numFmtId="170" fontId="12" fillId="0" borderId="42" xfId="0" applyNumberFormat="1" applyFont="1" applyFill="1" applyBorder="1" applyAlignment="1">
      <alignment horizontal="center"/>
    </xf>
    <xf numFmtId="170" fontId="12" fillId="0" borderId="42" xfId="6" applyNumberFormat="1" applyFont="1" applyFill="1" applyBorder="1" applyAlignment="1">
      <alignment horizontal="center"/>
    </xf>
    <xf numFmtId="174" fontId="14" fillId="0" borderId="76" xfId="0" applyNumberFormat="1" applyFont="1" applyFill="1" applyBorder="1"/>
    <xf numFmtId="0" fontId="12" fillId="0" borderId="37" xfId="0" applyFont="1" applyBorder="1" applyAlignment="1">
      <alignment horizontal="center"/>
    </xf>
    <xf numFmtId="168" fontId="12" fillId="0" borderId="36" xfId="0" applyNumberFormat="1" applyFont="1" applyBorder="1"/>
    <xf numFmtId="168" fontId="12" fillId="0" borderId="10" xfId="0" applyNumberFormat="1" applyFont="1" applyBorder="1"/>
    <xf numFmtId="168" fontId="12" fillId="0" borderId="4" xfId="0" applyNumberFormat="1" applyFont="1" applyBorder="1"/>
    <xf numFmtId="168" fontId="12" fillId="0" borderId="36" xfId="0" applyNumberFormat="1" applyFont="1" applyFill="1" applyBorder="1"/>
    <xf numFmtId="168" fontId="12" fillId="0" borderId="77" xfId="0" applyNumberFormat="1" applyFont="1" applyFill="1" applyBorder="1"/>
    <xf numFmtId="168" fontId="12" fillId="0" borderId="9" xfId="0" applyNumberFormat="1" applyFont="1" applyBorder="1"/>
    <xf numFmtId="0" fontId="14" fillId="0" borderId="43" xfId="0" applyFont="1" applyFill="1" applyBorder="1" applyAlignment="1">
      <alignment horizontal="center" vertical="center" wrapText="1"/>
    </xf>
    <xf numFmtId="0" fontId="9" fillId="0" borderId="9" xfId="0" applyNumberFormat="1" applyFont="1" applyFill="1" applyBorder="1" applyAlignment="1">
      <alignment horizontal="left"/>
    </xf>
    <xf numFmtId="0" fontId="14" fillId="0" borderId="17" xfId="0" applyFont="1" applyFill="1" applyBorder="1" applyAlignment="1">
      <alignment horizontal="center" vertical="center"/>
    </xf>
    <xf numFmtId="0" fontId="14" fillId="0" borderId="74" xfId="0" applyNumberFormat="1" applyFont="1" applyFill="1" applyBorder="1" applyAlignment="1">
      <alignment horizontal="center" vertical="center"/>
    </xf>
    <xf numFmtId="0" fontId="14" fillId="0" borderId="81" xfId="0" applyFont="1" applyFill="1" applyBorder="1" applyAlignment="1">
      <alignment horizontal="center" vertical="top" wrapText="1"/>
    </xf>
    <xf numFmtId="168" fontId="14" fillId="0" borderId="42" xfId="0" applyNumberFormat="1" applyFont="1" applyFill="1" applyBorder="1"/>
    <xf numFmtId="168" fontId="14" fillId="0" borderId="76" xfId="0" applyNumberFormat="1" applyFont="1" applyFill="1" applyBorder="1"/>
    <xf numFmtId="0" fontId="12" fillId="0" borderId="42" xfId="0" quotePrefix="1" applyNumberFormat="1" applyFont="1" applyBorder="1" applyAlignment="1">
      <alignment horizontal="center"/>
    </xf>
    <xf numFmtId="173" fontId="12" fillId="0" borderId="46" xfId="1" applyNumberFormat="1" applyFont="1" applyFill="1" applyBorder="1"/>
    <xf numFmtId="173" fontId="12" fillId="0" borderId="79" xfId="1" applyNumberFormat="1" applyFont="1" applyFill="1" applyBorder="1"/>
    <xf numFmtId="0" fontId="16" fillId="0" borderId="50" xfId="0" applyNumberFormat="1" applyFont="1" applyBorder="1"/>
    <xf numFmtId="0" fontId="14" fillId="0" borderId="46" xfId="0" applyNumberFormat="1" applyFont="1" applyBorder="1" applyAlignment="1">
      <alignment horizontal="center"/>
    </xf>
    <xf numFmtId="169" fontId="14" fillId="0" borderId="46" xfId="0" applyNumberFormat="1" applyFont="1" applyFill="1" applyBorder="1"/>
    <xf numFmtId="169" fontId="14" fillId="0" borderId="79" xfId="0" applyNumberFormat="1" applyFont="1" applyFill="1" applyBorder="1"/>
    <xf numFmtId="0" fontId="12" fillId="0" borderId="42" xfId="0" quotePrefix="1" applyNumberFormat="1" applyFont="1" applyFill="1" applyBorder="1" applyAlignment="1">
      <alignment horizontal="center"/>
    </xf>
    <xf numFmtId="174" fontId="12" fillId="0" borderId="34" xfId="0" applyNumberFormat="1" applyFont="1" applyBorder="1"/>
    <xf numFmtId="174" fontId="12" fillId="0" borderId="46" xfId="1" applyNumberFormat="1" applyFont="1" applyFill="1" applyBorder="1"/>
    <xf numFmtId="174" fontId="12" fillId="0" borderId="79" xfId="1" applyNumberFormat="1" applyFont="1" applyFill="1" applyBorder="1"/>
    <xf numFmtId="0" fontId="14" fillId="0" borderId="3" xfId="0" applyNumberFormat="1" applyFont="1" applyFill="1" applyBorder="1"/>
    <xf numFmtId="0" fontId="12" fillId="0" borderId="4" xfId="0" applyNumberFormat="1" applyFont="1" applyFill="1" applyBorder="1"/>
    <xf numFmtId="0" fontId="12" fillId="0" borderId="0" xfId="0" applyNumberFormat="1" applyFont="1" applyBorder="1" applyAlignment="1">
      <alignment horizontal="center"/>
    </xf>
    <xf numFmtId="0" fontId="12" fillId="0" borderId="0" xfId="0" applyNumberFormat="1" applyFont="1" applyBorder="1"/>
    <xf numFmtId="0" fontId="12" fillId="0" borderId="0" xfId="0" applyNumberFormat="1" applyFont="1" applyAlignment="1">
      <alignment horizontal="center"/>
    </xf>
    <xf numFmtId="0" fontId="14" fillId="0" borderId="12" xfId="0" applyFont="1" applyFill="1" applyBorder="1" applyAlignment="1">
      <alignment horizontal="centerContinuous" vertical="center" wrapText="1"/>
    </xf>
    <xf numFmtId="0" fontId="14" fillId="0" borderId="39" xfId="0" applyFont="1" applyFill="1" applyBorder="1" applyAlignment="1">
      <alignment horizontal="centerContinuous" vertical="center" wrapText="1"/>
    </xf>
    <xf numFmtId="0" fontId="14" fillId="0" borderId="40" xfId="0" applyFont="1" applyFill="1" applyBorder="1" applyAlignment="1">
      <alignment horizontal="centerContinuous" vertical="center" wrapText="1"/>
    </xf>
    <xf numFmtId="0" fontId="14" fillId="0" borderId="82" xfId="0" applyFont="1" applyFill="1" applyBorder="1" applyAlignment="1">
      <alignment horizontal="centerContinuous" vertical="center" wrapText="1"/>
    </xf>
    <xf numFmtId="0" fontId="14" fillId="0" borderId="11"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2" fillId="0" borderId="43" xfId="0" applyNumberFormat="1" applyFont="1" applyBorder="1" applyAlignment="1">
      <alignment horizontal="center" vertical="top" wrapText="1"/>
    </xf>
    <xf numFmtId="178" fontId="12" fillId="0" borderId="43" xfId="0" applyNumberFormat="1" applyFont="1" applyBorder="1" applyAlignment="1">
      <alignment vertical="top" wrapText="1"/>
    </xf>
    <xf numFmtId="178" fontId="12" fillId="0" borderId="7" xfId="0" applyNumberFormat="1" applyFont="1" applyBorder="1" applyAlignment="1">
      <alignment vertical="top" wrapText="1"/>
    </xf>
    <xf numFmtId="178" fontId="12" fillId="0" borderId="12" xfId="0" applyNumberFormat="1" applyFont="1" applyBorder="1" applyAlignment="1">
      <alignment vertical="top" wrapText="1"/>
    </xf>
    <xf numFmtId="178" fontId="12" fillId="0" borderId="6" xfId="0" applyNumberFormat="1" applyFont="1" applyBorder="1" applyAlignment="1">
      <alignment vertical="top" wrapText="1"/>
    </xf>
    <xf numFmtId="179" fontId="12" fillId="0" borderId="11" xfId="0" applyNumberFormat="1" applyFont="1" applyBorder="1" applyAlignment="1">
      <alignment vertical="top" wrapText="1"/>
    </xf>
    <xf numFmtId="0" fontId="12" fillId="0" borderId="42" xfId="0" applyNumberFormat="1" applyFont="1" applyBorder="1" applyAlignment="1">
      <alignment horizontal="center" vertical="top" wrapText="1"/>
    </xf>
    <xf numFmtId="178" fontId="12" fillId="0" borderId="42" xfId="1" applyNumberFormat="1" applyFont="1" applyBorder="1" applyAlignment="1">
      <alignment vertical="top" wrapText="1"/>
    </xf>
    <xf numFmtId="178" fontId="12" fillId="0" borderId="8" xfId="1" applyNumberFormat="1" applyFont="1" applyBorder="1" applyAlignment="1">
      <alignment vertical="top" wrapText="1"/>
    </xf>
    <xf numFmtId="178" fontId="12" fillId="0" borderId="3" xfId="1" applyNumberFormat="1" applyFont="1" applyBorder="1" applyAlignment="1">
      <alignment vertical="top" wrapText="1"/>
    </xf>
    <xf numFmtId="178" fontId="12" fillId="0" borderId="0" xfId="1" applyNumberFormat="1" applyFont="1" applyBorder="1" applyAlignment="1">
      <alignment vertical="top" wrapText="1"/>
    </xf>
    <xf numFmtId="179" fontId="12" fillId="0" borderId="1" xfId="1" applyNumberFormat="1" applyFont="1" applyBorder="1" applyAlignment="1">
      <alignment vertical="top" wrapText="1"/>
    </xf>
    <xf numFmtId="0" fontId="14" fillId="0" borderId="3" xfId="0" applyNumberFormat="1" applyFont="1" applyBorder="1" applyAlignment="1">
      <alignment horizontal="right" wrapText="1"/>
    </xf>
    <xf numFmtId="178" fontId="14" fillId="0" borderId="46" xfId="1" applyNumberFormat="1" applyFont="1" applyBorder="1" applyAlignment="1">
      <alignment vertical="top" wrapText="1"/>
    </xf>
    <xf numFmtId="178" fontId="14" fillId="0" borderId="49" xfId="1" applyNumberFormat="1" applyFont="1" applyBorder="1" applyAlignment="1">
      <alignment vertical="top" wrapText="1"/>
    </xf>
    <xf numFmtId="178" fontId="14" fillId="0" borderId="50" xfId="1" applyNumberFormat="1" applyFont="1" applyBorder="1" applyAlignment="1">
      <alignment vertical="top" wrapText="1"/>
    </xf>
    <xf numFmtId="178" fontId="14" fillId="0" borderId="48" xfId="1" applyNumberFormat="1" applyFont="1" applyBorder="1" applyAlignment="1">
      <alignment vertical="top" wrapText="1"/>
    </xf>
    <xf numFmtId="179" fontId="14" fillId="0" borderId="44" xfId="6" applyNumberFormat="1" applyFont="1" applyBorder="1" applyAlignment="1">
      <alignment vertical="top" wrapText="1"/>
    </xf>
    <xf numFmtId="0" fontId="14" fillId="0" borderId="3" xfId="0" applyNumberFormat="1" applyFont="1" applyBorder="1" applyAlignment="1">
      <alignment horizontal="left" wrapText="1" indent="1"/>
    </xf>
    <xf numFmtId="179" fontId="14" fillId="0" borderId="42" xfId="1" applyNumberFormat="1" applyFont="1" applyBorder="1" applyAlignment="1">
      <alignment vertical="top" wrapText="1"/>
    </xf>
    <xf numFmtId="179" fontId="14" fillId="0" borderId="42" xfId="6" applyNumberFormat="1" applyFont="1" applyBorder="1" applyAlignment="1">
      <alignment vertical="top" wrapText="1"/>
    </xf>
    <xf numFmtId="179" fontId="14" fillId="0" borderId="8" xfId="6" applyNumberFormat="1" applyFont="1" applyBorder="1" applyAlignment="1">
      <alignment vertical="top" wrapText="1"/>
    </xf>
    <xf numFmtId="179" fontId="14" fillId="0" borderId="3" xfId="6" applyNumberFormat="1" applyFont="1" applyBorder="1" applyAlignment="1">
      <alignment vertical="top" wrapText="1"/>
    </xf>
    <xf numFmtId="179" fontId="14" fillId="0" borderId="0" xfId="6" applyNumberFormat="1" applyFont="1" applyBorder="1" applyAlignment="1">
      <alignment vertical="top" wrapText="1"/>
    </xf>
    <xf numFmtId="179" fontId="14" fillId="0" borderId="1" xfId="6" applyNumberFormat="1" applyFont="1" applyBorder="1" applyAlignment="1">
      <alignment vertical="top" wrapText="1"/>
    </xf>
    <xf numFmtId="43" fontId="12" fillId="0" borderId="42" xfId="1" applyFont="1" applyBorder="1" applyAlignment="1">
      <alignment horizontal="center" vertical="top" wrapText="1"/>
    </xf>
    <xf numFmtId="43" fontId="12" fillId="0" borderId="8" xfId="1" applyFont="1" applyBorder="1" applyAlignment="1">
      <alignment horizontal="center" vertical="top" wrapText="1"/>
    </xf>
    <xf numFmtId="43" fontId="12" fillId="0" borderId="3" xfId="1" applyFont="1" applyBorder="1" applyAlignment="1">
      <alignment horizontal="center" vertical="top" wrapText="1"/>
    </xf>
    <xf numFmtId="43" fontId="12" fillId="0" borderId="0" xfId="1" applyFont="1" applyBorder="1" applyAlignment="1">
      <alignment horizontal="center" vertical="top" wrapText="1"/>
    </xf>
    <xf numFmtId="0" fontId="16" fillId="0" borderId="50" xfId="0" applyNumberFormat="1" applyFont="1" applyBorder="1" applyAlignment="1">
      <alignment horizontal="left" wrapText="1"/>
    </xf>
    <xf numFmtId="0" fontId="12" fillId="0" borderId="46" xfId="0" applyNumberFormat="1" applyFont="1" applyBorder="1" applyAlignment="1">
      <alignment horizontal="center" vertical="top" wrapText="1"/>
    </xf>
    <xf numFmtId="178" fontId="12" fillId="0" borderId="46" xfId="1" applyNumberFormat="1" applyFont="1" applyBorder="1" applyAlignment="1">
      <alignment vertical="top" wrapText="1"/>
    </xf>
    <xf numFmtId="178" fontId="12" fillId="0" borderId="49" xfId="1" applyNumberFormat="1" applyFont="1" applyBorder="1" applyAlignment="1">
      <alignment vertical="top" wrapText="1"/>
    </xf>
    <xf numFmtId="178" fontId="12" fillId="0" borderId="50" xfId="1" applyNumberFormat="1" applyFont="1" applyBorder="1" applyAlignment="1">
      <alignment vertical="top" wrapText="1"/>
    </xf>
    <xf numFmtId="178" fontId="12" fillId="0" borderId="48" xfId="1" applyNumberFormat="1" applyFont="1" applyBorder="1" applyAlignment="1">
      <alignment vertical="top" wrapText="1"/>
    </xf>
    <xf numFmtId="179" fontId="12" fillId="0" borderId="44" xfId="1" applyNumberFormat="1" applyFont="1" applyBorder="1" applyAlignment="1">
      <alignment vertical="top" wrapText="1"/>
    </xf>
    <xf numFmtId="0" fontId="14" fillId="0" borderId="42" xfId="0" applyNumberFormat="1" applyFont="1" applyBorder="1" applyAlignment="1">
      <alignment horizontal="center" vertical="top" wrapText="1"/>
    </xf>
    <xf numFmtId="0" fontId="16" fillId="0" borderId="4" xfId="0" applyNumberFormat="1" applyFont="1" applyBorder="1" applyAlignment="1">
      <alignment horizontal="left" wrapText="1"/>
    </xf>
    <xf numFmtId="0" fontId="12" fillId="0" borderId="36" xfId="0" applyFont="1" applyBorder="1" applyAlignment="1">
      <alignment horizontal="center" vertical="top" wrapText="1"/>
    </xf>
    <xf numFmtId="0" fontId="12" fillId="0" borderId="10" xfId="0" applyFont="1" applyBorder="1" applyAlignment="1">
      <alignment horizontal="center" vertical="top" wrapText="1"/>
    </xf>
    <xf numFmtId="0" fontId="12" fillId="0" borderId="4" xfId="0" applyFont="1" applyBorder="1" applyAlignment="1">
      <alignment horizontal="center" vertical="top" wrapText="1"/>
    </xf>
    <xf numFmtId="0" fontId="12" fillId="0" borderId="9" xfId="0" applyFont="1" applyBorder="1" applyAlignment="1">
      <alignment horizontal="center" vertical="top" wrapText="1"/>
    </xf>
    <xf numFmtId="179" fontId="12" fillId="0" borderId="5" xfId="0" applyNumberFormat="1" applyFont="1" applyBorder="1" applyAlignment="1">
      <alignment vertical="top" wrapText="1"/>
    </xf>
    <xf numFmtId="0" fontId="12" fillId="0" borderId="0" xfId="0" applyFont="1" applyAlignment="1" applyProtection="1">
      <alignment horizontal="center"/>
    </xf>
    <xf numFmtId="4" fontId="12" fillId="0" borderId="0" xfId="0" applyNumberFormat="1" applyFont="1" applyProtection="1"/>
    <xf numFmtId="10" fontId="12" fillId="0" borderId="0" xfId="0" applyNumberFormat="1" applyFont="1" applyProtection="1"/>
    <xf numFmtId="0" fontId="12" fillId="0" borderId="0" xfId="0" applyFont="1" applyProtection="1"/>
    <xf numFmtId="4" fontId="12" fillId="0" borderId="0" xfId="0" applyNumberFormat="1" applyFont="1" applyProtection="1">
      <protection locked="0"/>
    </xf>
    <xf numFmtId="0" fontId="12" fillId="0" borderId="0" xfId="0" applyFont="1" applyProtection="1">
      <protection locked="0"/>
    </xf>
    <xf numFmtId="174" fontId="12" fillId="0" borderId="43" xfId="0" applyNumberFormat="1" applyFont="1" applyBorder="1" applyAlignment="1"/>
    <xf numFmtId="174" fontId="12" fillId="0" borderId="8" xfId="0" applyNumberFormat="1" applyFont="1" applyBorder="1" applyAlignment="1"/>
    <xf numFmtId="174" fontId="12" fillId="0" borderId="3" xfId="0" applyNumberFormat="1" applyFont="1" applyBorder="1" applyAlignment="1"/>
    <xf numFmtId="174" fontId="12" fillId="0" borderId="0" xfId="0" applyNumberFormat="1" applyFont="1" applyBorder="1" applyAlignment="1"/>
    <xf numFmtId="174" fontId="12" fillId="0" borderId="45" xfId="0" applyNumberFormat="1" applyFont="1" applyBorder="1" applyAlignment="1"/>
    <xf numFmtId="174" fontId="12" fillId="0" borderId="42" xfId="0" applyNumberFormat="1" applyFont="1" applyBorder="1" applyAlignment="1"/>
    <xf numFmtId="174" fontId="12" fillId="0" borderId="47" xfId="0" applyNumberFormat="1" applyFont="1" applyBorder="1" applyAlignment="1"/>
    <xf numFmtId="174" fontId="14" fillId="0" borderId="46" xfId="0" applyNumberFormat="1" applyFont="1" applyBorder="1" applyAlignment="1"/>
    <xf numFmtId="174" fontId="14" fillId="0" borderId="49" xfId="0" applyNumberFormat="1" applyFont="1" applyBorder="1" applyAlignment="1"/>
    <xf numFmtId="174" fontId="14" fillId="0" borderId="50" xfId="0" applyNumberFormat="1" applyFont="1" applyBorder="1" applyAlignment="1"/>
    <xf numFmtId="174" fontId="14" fillId="0" borderId="48" xfId="0" applyNumberFormat="1" applyFont="1" applyBorder="1" applyAlignment="1"/>
    <xf numFmtId="174" fontId="14" fillId="0" borderId="51" xfId="0" applyNumberFormat="1" applyFont="1" applyBorder="1" applyAlignment="1"/>
    <xf numFmtId="174" fontId="12" fillId="0" borderId="46" xfId="0" applyNumberFormat="1" applyFont="1" applyBorder="1" applyAlignment="1"/>
    <xf numFmtId="174" fontId="12" fillId="0" borderId="49" xfId="0" applyNumberFormat="1" applyFont="1" applyBorder="1" applyAlignment="1"/>
    <xf numFmtId="174" fontId="12" fillId="0" borderId="50" xfId="0" applyNumberFormat="1" applyFont="1" applyBorder="1" applyAlignment="1"/>
    <xf numFmtId="174" fontId="12" fillId="0" borderId="48" xfId="0" applyNumberFormat="1" applyFont="1" applyBorder="1" applyAlignment="1"/>
    <xf numFmtId="174" fontId="12" fillId="0" borderId="51" xfId="0" applyNumberFormat="1" applyFont="1" applyBorder="1" applyAlignment="1"/>
    <xf numFmtId="0" fontId="12" fillId="0" borderId="53" xfId="0" applyFont="1" applyBorder="1"/>
    <xf numFmtId="174" fontId="14" fillId="0" borderId="53" xfId="0" applyNumberFormat="1" applyFont="1" applyBorder="1" applyAlignment="1"/>
    <xf numFmtId="174" fontId="14" fillId="0" borderId="55" xfId="0" applyNumberFormat="1" applyFont="1" applyBorder="1" applyAlignment="1"/>
    <xf numFmtId="174" fontId="14" fillId="0" borderId="52" xfId="0" applyNumberFormat="1" applyFont="1" applyBorder="1" applyAlignment="1"/>
    <xf numFmtId="174" fontId="14" fillId="0" borderId="54" xfId="0" applyNumberFormat="1" applyFont="1" applyBorder="1" applyAlignment="1"/>
    <xf numFmtId="174" fontId="14" fillId="0" borderId="56" xfId="0" applyNumberFormat="1" applyFont="1" applyBorder="1" applyAlignment="1"/>
    <xf numFmtId="0" fontId="14" fillId="0" borderId="66" xfId="0" applyFont="1" applyFill="1" applyBorder="1" applyAlignment="1">
      <alignment horizontal="center" vertical="center"/>
    </xf>
    <xf numFmtId="0" fontId="14" fillId="0" borderId="83" xfId="0" applyFont="1" applyFill="1" applyBorder="1" applyAlignment="1">
      <alignment horizontal="center" vertical="center" wrapText="1"/>
    </xf>
    <xf numFmtId="0" fontId="14" fillId="0" borderId="37" xfId="0" applyFont="1" applyFill="1" applyBorder="1" applyAlignment="1">
      <alignment horizontal="center" vertical="center"/>
    </xf>
    <xf numFmtId="0" fontId="12" fillId="0" borderId="67" xfId="0" applyNumberFormat="1" applyFont="1" applyBorder="1" applyAlignment="1">
      <alignment horizontal="center"/>
    </xf>
    <xf numFmtId="168" fontId="12" fillId="0" borderId="76" xfId="0" applyNumberFormat="1" applyFont="1" applyBorder="1" applyAlignment="1">
      <alignment horizontal="center"/>
    </xf>
    <xf numFmtId="168" fontId="12" fillId="0" borderId="76" xfId="0" applyNumberFormat="1" applyFont="1" applyBorder="1" applyAlignment="1"/>
    <xf numFmtId="180" fontId="12" fillId="0" borderId="76" xfId="0" applyNumberFormat="1" applyFont="1" applyBorder="1" applyAlignment="1">
      <alignment horizontal="center"/>
    </xf>
    <xf numFmtId="174" fontId="12" fillId="0" borderId="76" xfId="0" applyNumberFormat="1" applyFont="1" applyBorder="1" applyAlignment="1"/>
    <xf numFmtId="174" fontId="14" fillId="0" borderId="79" xfId="0" applyNumberFormat="1" applyFont="1" applyBorder="1" applyAlignment="1"/>
    <xf numFmtId="0" fontId="12" fillId="0" borderId="37" xfId="0" applyNumberFormat="1" applyFont="1" applyBorder="1" applyAlignment="1">
      <alignment horizontal="center"/>
    </xf>
    <xf numFmtId="180" fontId="12" fillId="0" borderId="77" xfId="0" applyNumberFormat="1" applyFont="1" applyBorder="1" applyAlignment="1">
      <alignment horizontal="center"/>
    </xf>
    <xf numFmtId="174" fontId="14" fillId="0" borderId="84" xfId="0" applyNumberFormat="1" applyFont="1" applyBorder="1" applyAlignment="1"/>
    <xf numFmtId="0" fontId="12" fillId="0" borderId="43" xfId="0" applyNumberFormat="1" applyFont="1" applyBorder="1" applyAlignment="1">
      <alignment horizontal="center"/>
    </xf>
    <xf numFmtId="174" fontId="12" fillId="0" borderId="8" xfId="0" applyNumberFormat="1" applyFont="1" applyFill="1" applyBorder="1" applyAlignment="1"/>
    <xf numFmtId="174" fontId="14" fillId="0" borderId="42" xfId="0" applyNumberFormat="1" applyFont="1" applyBorder="1" applyAlignment="1"/>
    <xf numFmtId="174" fontId="14" fillId="0" borderId="8" xfId="0" applyNumberFormat="1" applyFont="1" applyBorder="1" applyAlignment="1"/>
    <xf numFmtId="174" fontId="14" fillId="0" borderId="3" xfId="0" applyNumberFormat="1" applyFont="1" applyBorder="1" applyAlignment="1"/>
    <xf numFmtId="174" fontId="14" fillId="0" borderId="0" xfId="0" applyNumberFormat="1" applyFont="1" applyBorder="1" applyAlignment="1"/>
    <xf numFmtId="174" fontId="14" fillId="0" borderId="47" xfId="0" applyNumberFormat="1" applyFont="1" applyBorder="1" applyAlignment="1"/>
    <xf numFmtId="0" fontId="14" fillId="0" borderId="85" xfId="0" applyFont="1" applyFill="1" applyBorder="1" applyAlignment="1">
      <alignment horizontal="center" vertical="center" wrapText="1"/>
    </xf>
    <xf numFmtId="174" fontId="14" fillId="0" borderId="43" xfId="0" applyNumberFormat="1" applyFont="1" applyBorder="1" applyAlignment="1"/>
    <xf numFmtId="174" fontId="14" fillId="0" borderId="7" xfId="0" applyNumberFormat="1" applyFont="1" applyBorder="1" applyAlignment="1"/>
    <xf numFmtId="174" fontId="14" fillId="0" borderId="12" xfId="0" applyNumberFormat="1" applyFont="1" applyBorder="1" applyAlignment="1"/>
    <xf numFmtId="174" fontId="14" fillId="0" borderId="6" xfId="0" applyNumberFormat="1" applyFont="1" applyBorder="1" applyAlignment="1"/>
    <xf numFmtId="174" fontId="14" fillId="0" borderId="45" xfId="0" applyNumberFormat="1" applyFont="1" applyBorder="1" applyAlignment="1"/>
    <xf numFmtId="0" fontId="14" fillId="0" borderId="62" xfId="0" applyNumberFormat="1" applyFont="1" applyBorder="1" applyAlignment="1">
      <alignment vertical="center"/>
    </xf>
    <xf numFmtId="0" fontId="12" fillId="0" borderId="60" xfId="0" applyNumberFormat="1" applyFont="1" applyBorder="1" applyAlignment="1">
      <alignment horizontal="center" vertical="center"/>
    </xf>
    <xf numFmtId="174" fontId="14" fillId="0" borderId="60" xfId="0" applyNumberFormat="1" applyFont="1" applyBorder="1" applyAlignment="1">
      <alignment vertical="center"/>
    </xf>
    <xf numFmtId="174" fontId="14" fillId="0" borderId="61" xfId="0" applyNumberFormat="1" applyFont="1" applyBorder="1" applyAlignment="1">
      <alignment vertical="center"/>
    </xf>
    <xf numFmtId="174" fontId="14" fillId="0" borderId="62" xfId="0" applyNumberFormat="1" applyFont="1" applyBorder="1" applyAlignment="1">
      <alignment vertical="center"/>
    </xf>
    <xf numFmtId="174" fontId="14" fillId="0" borderId="59" xfId="0" applyNumberFormat="1" applyFont="1" applyBorder="1" applyAlignment="1">
      <alignment vertical="center"/>
    </xf>
    <xf numFmtId="174" fontId="14" fillId="0" borderId="63" xfId="0" applyNumberFormat="1" applyFont="1" applyBorder="1" applyAlignment="1">
      <alignment vertical="center"/>
    </xf>
    <xf numFmtId="0" fontId="12" fillId="0" borderId="0" xfId="0" applyFont="1" applyAlignment="1">
      <alignment vertical="center"/>
    </xf>
    <xf numFmtId="0" fontId="14" fillId="0" borderId="3" xfId="0" quotePrefix="1" applyNumberFormat="1" applyFont="1" applyBorder="1" applyAlignment="1">
      <alignment horizontal="left" indent="1"/>
    </xf>
    <xf numFmtId="0" fontId="14" fillId="0" borderId="50" xfId="0" applyNumberFormat="1" applyFont="1" applyBorder="1" applyAlignment="1">
      <alignment horizontal="left"/>
    </xf>
    <xf numFmtId="0" fontId="12" fillId="0" borderId="46" xfId="0" applyNumberFormat="1" applyFont="1" applyBorder="1" applyAlignment="1">
      <alignment horizontal="center"/>
    </xf>
    <xf numFmtId="0" fontId="14" fillId="0" borderId="52" xfId="0" applyNumberFormat="1" applyFont="1" applyBorder="1" applyAlignment="1">
      <alignment vertical="center"/>
    </xf>
    <xf numFmtId="0" fontId="12" fillId="0" borderId="53" xfId="0" applyNumberFormat="1" applyFont="1" applyBorder="1" applyAlignment="1">
      <alignment horizontal="center" vertical="center"/>
    </xf>
    <xf numFmtId="174" fontId="14" fillId="0" borderId="53" xfId="0" applyNumberFormat="1" applyFont="1" applyBorder="1" applyAlignment="1">
      <alignment vertical="center"/>
    </xf>
    <xf numFmtId="174" fontId="14" fillId="0" borderId="55" xfId="0" applyNumberFormat="1" applyFont="1" applyBorder="1" applyAlignment="1">
      <alignment vertical="center"/>
    </xf>
    <xf numFmtId="174" fontId="14" fillId="0" borderId="52" xfId="0" applyNumberFormat="1" applyFont="1" applyBorder="1" applyAlignment="1">
      <alignment vertical="center"/>
    </xf>
    <xf numFmtId="174" fontId="14" fillId="0" borderId="54" xfId="0" applyNumberFormat="1" applyFont="1" applyBorder="1" applyAlignment="1">
      <alignment vertical="center"/>
    </xf>
    <xf numFmtId="174" fontId="14" fillId="0" borderId="56" xfId="0" applyNumberFormat="1" applyFont="1" applyBorder="1" applyAlignment="1">
      <alignment vertical="center"/>
    </xf>
    <xf numFmtId="174" fontId="12" fillId="0" borderId="42" xfId="1" applyNumberFormat="1" applyFont="1" applyBorder="1" applyAlignment="1"/>
    <xf numFmtId="174" fontId="12" fillId="0" borderId="0" xfId="1" applyNumberFormat="1" applyFont="1" applyBorder="1" applyAlignment="1"/>
    <xf numFmtId="174" fontId="12" fillId="0" borderId="3" xfId="1" applyNumberFormat="1" applyFont="1" applyBorder="1" applyAlignment="1"/>
    <xf numFmtId="174" fontId="12" fillId="0" borderId="47" xfId="1" applyNumberFormat="1" applyFont="1" applyBorder="1" applyAlignment="1"/>
    <xf numFmtId="174" fontId="12" fillId="0" borderId="8" xfId="1" applyNumberFormat="1" applyFont="1" applyBorder="1" applyAlignment="1"/>
    <xf numFmtId="174" fontId="12" fillId="0" borderId="42" xfId="1" applyNumberFormat="1" applyFont="1" applyFill="1" applyBorder="1" applyAlignment="1"/>
    <xf numFmtId="0" fontId="14" fillId="0" borderId="3" xfId="0" applyNumberFormat="1" applyFont="1" applyBorder="1" applyAlignment="1">
      <alignment horizontal="left" indent="2"/>
    </xf>
    <xf numFmtId="174" fontId="14" fillId="0" borderId="60" xfId="1" applyNumberFormat="1" applyFont="1" applyFill="1" applyBorder="1" applyAlignment="1"/>
    <xf numFmtId="174" fontId="14" fillId="0" borderId="60" xfId="1" applyNumberFormat="1" applyFont="1" applyBorder="1" applyAlignment="1"/>
    <xf numFmtId="174" fontId="14" fillId="0" borderId="61" xfId="1" applyNumberFormat="1" applyFont="1" applyBorder="1" applyAlignment="1"/>
    <xf numFmtId="174" fontId="14" fillId="0" borderId="62" xfId="1" applyNumberFormat="1" applyFont="1" applyBorder="1" applyAlignment="1"/>
    <xf numFmtId="174" fontId="14" fillId="0" borderId="59" xfId="1" applyNumberFormat="1" applyFont="1" applyBorder="1" applyAlignment="1"/>
    <xf numFmtId="174" fontId="14" fillId="0" borderId="63" xfId="1" applyNumberFormat="1" applyFont="1" applyBorder="1" applyAlignment="1"/>
    <xf numFmtId="174" fontId="14" fillId="0" borderId="42" xfId="0" applyNumberFormat="1" applyFont="1" applyFill="1" applyBorder="1" applyAlignment="1"/>
    <xf numFmtId="0" fontId="12" fillId="0" borderId="3" xfId="0" quotePrefix="1" applyNumberFormat="1" applyFont="1" applyBorder="1" applyAlignment="1">
      <alignment horizontal="left" indent="2"/>
    </xf>
    <xf numFmtId="174" fontId="12" fillId="0" borderId="0" xfId="1" applyNumberFormat="1" applyFont="1" applyFill="1" applyBorder="1" applyAlignment="1"/>
    <xf numFmtId="0" fontId="14" fillId="0" borderId="3" xfId="0" quotePrefix="1" applyNumberFormat="1" applyFont="1" applyBorder="1" applyAlignment="1">
      <alignment horizontal="left" indent="2"/>
    </xf>
    <xf numFmtId="0" fontId="14" fillId="0" borderId="62" xfId="0" applyNumberFormat="1" applyFont="1" applyBorder="1"/>
    <xf numFmtId="0" fontId="12" fillId="0" borderId="60" xfId="0" applyNumberFormat="1" applyFont="1" applyBorder="1" applyAlignment="1">
      <alignment horizontal="center"/>
    </xf>
    <xf numFmtId="174" fontId="14" fillId="0" borderId="60" xfId="0" applyNumberFormat="1" applyFont="1" applyBorder="1" applyAlignment="1"/>
    <xf numFmtId="174" fontId="14" fillId="0" borderId="61" xfId="0" applyNumberFormat="1" applyFont="1" applyBorder="1" applyAlignment="1"/>
    <xf numFmtId="174" fontId="14" fillId="0" borderId="62" xfId="0" applyNumberFormat="1" applyFont="1" applyBorder="1" applyAlignment="1"/>
    <xf numFmtId="174" fontId="14" fillId="0" borderId="59" xfId="0" applyNumberFormat="1" applyFont="1" applyBorder="1" applyAlignment="1"/>
    <xf numFmtId="174" fontId="14" fillId="0" borderId="63" xfId="0" applyNumberFormat="1" applyFont="1" applyBorder="1" applyAlignment="1"/>
    <xf numFmtId="0" fontId="14" fillId="0" borderId="3" xfId="0" quotePrefix="1" applyNumberFormat="1" applyFont="1" applyBorder="1"/>
    <xf numFmtId="0" fontId="17" fillId="0" borderId="0" xfId="0" applyFont="1" applyAlignment="1">
      <alignment horizontal="center"/>
    </xf>
    <xf numFmtId="0" fontId="12" fillId="0" borderId="0" xfId="0" applyFont="1" applyBorder="1" applyAlignment="1">
      <alignment horizontal="left" wrapText="1"/>
    </xf>
    <xf numFmtId="43" fontId="12" fillId="0" borderId="0" xfId="1" applyFont="1"/>
    <xf numFmtId="174" fontId="12" fillId="0" borderId="76" xfId="0" applyNumberFormat="1" applyFont="1" applyBorder="1"/>
    <xf numFmtId="174" fontId="14" fillId="0" borderId="86" xfId="0" applyNumberFormat="1" applyFont="1" applyBorder="1"/>
    <xf numFmtId="0" fontId="16" fillId="0" borderId="3" xfId="0" applyNumberFormat="1" applyFont="1" applyFill="1" applyBorder="1"/>
    <xf numFmtId="0" fontId="14" fillId="0" borderId="62" xfId="0" applyNumberFormat="1" applyFont="1" applyFill="1" applyBorder="1"/>
    <xf numFmtId="0" fontId="12" fillId="0" borderId="60" xfId="0" applyNumberFormat="1" applyFont="1" applyFill="1" applyBorder="1" applyAlignment="1">
      <alignment horizontal="center"/>
    </xf>
    <xf numFmtId="174" fontId="14" fillId="0" borderId="60" xfId="0" applyNumberFormat="1" applyFont="1" applyFill="1" applyBorder="1"/>
    <xf numFmtId="174" fontId="14" fillId="0" borderId="61" xfId="0" applyNumberFormat="1" applyFont="1" applyFill="1" applyBorder="1"/>
    <xf numFmtId="174" fontId="14" fillId="0" borderId="62" xfId="0" applyNumberFormat="1" applyFont="1" applyFill="1" applyBorder="1"/>
    <xf numFmtId="174" fontId="14" fillId="0" borderId="59" xfId="0" applyNumberFormat="1" applyFont="1" applyFill="1" applyBorder="1"/>
    <xf numFmtId="0" fontId="12" fillId="0" borderId="3" xfId="0" applyNumberFormat="1" applyFont="1" applyFill="1" applyBorder="1"/>
    <xf numFmtId="0" fontId="14" fillId="0" borderId="52" xfId="0" applyNumberFormat="1" applyFont="1" applyFill="1" applyBorder="1"/>
    <xf numFmtId="174" fontId="14" fillId="0" borderId="84" xfId="0" applyNumberFormat="1" applyFont="1" applyFill="1" applyBorder="1"/>
    <xf numFmtId="0" fontId="12" fillId="0" borderId="8" xfId="0" applyNumberFormat="1" applyFont="1" applyBorder="1" applyAlignment="1">
      <alignment horizontal="center"/>
    </xf>
    <xf numFmtId="0" fontId="12" fillId="0" borderId="3" xfId="0" applyNumberFormat="1" applyFont="1" applyBorder="1" applyAlignment="1">
      <alignment horizontal="center"/>
    </xf>
    <xf numFmtId="179" fontId="14" fillId="0" borderId="42" xfId="0" applyNumberFormat="1" applyFont="1" applyFill="1" applyBorder="1"/>
    <xf numFmtId="179" fontId="14" fillId="0" borderId="42" xfId="6" applyNumberFormat="1" applyFont="1" applyBorder="1" applyAlignment="1">
      <alignment horizontal="center"/>
    </xf>
    <xf numFmtId="179" fontId="14" fillId="0" borderId="8" xfId="6" applyNumberFormat="1" applyFont="1" applyBorder="1" applyAlignment="1">
      <alignment horizontal="center"/>
    </xf>
    <xf numFmtId="179" fontId="14" fillId="0" borderId="3" xfId="6" applyNumberFormat="1" applyFont="1" applyBorder="1" applyAlignment="1">
      <alignment horizontal="center"/>
    </xf>
    <xf numFmtId="179" fontId="14" fillId="0" borderId="0" xfId="6" applyNumberFormat="1" applyFont="1" applyBorder="1" applyAlignment="1">
      <alignment horizontal="center"/>
    </xf>
    <xf numFmtId="179" fontId="14" fillId="0" borderId="42" xfId="0" applyNumberFormat="1" applyFont="1" applyBorder="1"/>
    <xf numFmtId="179" fontId="12" fillId="0" borderId="42" xfId="0" applyNumberFormat="1" applyFont="1" applyBorder="1"/>
    <xf numFmtId="9" fontId="14" fillId="0" borderId="42" xfId="6" applyFont="1" applyBorder="1" applyAlignment="1">
      <alignment horizontal="center"/>
    </xf>
    <xf numFmtId="9" fontId="14" fillId="0" borderId="8" xfId="6" applyFont="1" applyBorder="1" applyAlignment="1">
      <alignment horizontal="center"/>
    </xf>
    <xf numFmtId="9" fontId="14" fillId="0" borderId="3" xfId="6" applyFont="1" applyBorder="1" applyAlignment="1">
      <alignment horizontal="center"/>
    </xf>
    <xf numFmtId="9" fontId="14" fillId="0" borderId="0" xfId="6" applyFont="1" applyBorder="1" applyAlignment="1">
      <alignment horizontal="center"/>
    </xf>
    <xf numFmtId="0" fontId="17" fillId="0" borderId="0" xfId="0" applyNumberFormat="1" applyFont="1"/>
    <xf numFmtId="168" fontId="12" fillId="0" borderId="0" xfId="0" applyNumberFormat="1" applyFont="1" applyFill="1"/>
    <xf numFmtId="0" fontId="14" fillId="0" borderId="7" xfId="0" applyFont="1" applyFill="1" applyBorder="1" applyAlignment="1">
      <alignment horizontal="center" vertical="top" wrapText="1"/>
    </xf>
    <xf numFmtId="175" fontId="12" fillId="0" borderId="42" xfId="1" applyNumberFormat="1" applyFont="1" applyBorder="1" applyAlignment="1">
      <alignment horizontal="center"/>
    </xf>
    <xf numFmtId="175" fontId="12" fillId="0" borderId="42" xfId="1" applyNumberFormat="1" applyFont="1" applyBorder="1"/>
    <xf numFmtId="175" fontId="12" fillId="0" borderId="1" xfId="1" applyNumberFormat="1" applyFont="1" applyBorder="1"/>
    <xf numFmtId="175" fontId="12" fillId="0" borderId="42" xfId="1" applyNumberFormat="1" applyFont="1" applyFill="1" applyBorder="1" applyAlignment="1">
      <alignment horizontal="center"/>
    </xf>
    <xf numFmtId="175" fontId="14" fillId="0" borderId="60" xfId="1" applyNumberFormat="1" applyFont="1" applyFill="1" applyBorder="1" applyAlignment="1">
      <alignment horizontal="center"/>
    </xf>
    <xf numFmtId="175" fontId="14" fillId="0" borderId="60" xfId="1" applyNumberFormat="1" applyFont="1" applyFill="1" applyBorder="1"/>
    <xf numFmtId="175" fontId="14" fillId="0" borderId="60" xfId="1" applyNumberFormat="1" applyFont="1" applyBorder="1"/>
    <xf numFmtId="175" fontId="14" fillId="0" borderId="87" xfId="1" applyNumberFormat="1" applyFont="1" applyBorder="1"/>
    <xf numFmtId="0" fontId="17" fillId="0" borderId="3" xfId="0" applyNumberFormat="1" applyFont="1" applyBorder="1"/>
    <xf numFmtId="175" fontId="14" fillId="0" borderId="60" xfId="1" applyNumberFormat="1" applyFont="1" applyBorder="1" applyAlignment="1">
      <alignment horizontal="center"/>
    </xf>
    <xf numFmtId="175" fontId="14" fillId="0" borderId="61" xfId="1" applyNumberFormat="1" applyFont="1" applyFill="1" applyBorder="1"/>
    <xf numFmtId="175" fontId="12" fillId="0" borderId="1" xfId="1" applyNumberFormat="1" applyFont="1" applyFill="1" applyBorder="1"/>
    <xf numFmtId="175" fontId="12" fillId="0" borderId="0" xfId="1" applyNumberFormat="1" applyFont="1" applyBorder="1"/>
    <xf numFmtId="0" fontId="14" fillId="0" borderId="52" xfId="0" applyNumberFormat="1" applyFont="1" applyBorder="1" applyAlignment="1">
      <alignment vertical="center" wrapText="1"/>
    </xf>
    <xf numFmtId="175" fontId="14" fillId="0" borderId="53" xfId="1" applyNumberFormat="1" applyFont="1" applyBorder="1" applyAlignment="1">
      <alignment horizontal="center" vertical="center"/>
    </xf>
    <xf numFmtId="175" fontId="14" fillId="0" borderId="53" xfId="1" applyNumberFormat="1" applyFont="1" applyBorder="1" applyAlignment="1">
      <alignment vertical="center"/>
    </xf>
    <xf numFmtId="175" fontId="14" fillId="0" borderId="55" xfId="1" applyNumberFormat="1" applyFont="1" applyBorder="1" applyAlignment="1">
      <alignment vertical="center"/>
    </xf>
    <xf numFmtId="175" fontId="14" fillId="0" borderId="88" xfId="1" applyNumberFormat="1" applyFont="1" applyBorder="1" applyAlignment="1">
      <alignment vertical="center"/>
    </xf>
    <xf numFmtId="175" fontId="12" fillId="0" borderId="8" xfId="1" applyNumberFormat="1" applyFont="1" applyBorder="1"/>
    <xf numFmtId="175" fontId="12" fillId="0" borderId="3" xfId="1" applyNumberFormat="1" applyFont="1" applyBorder="1"/>
    <xf numFmtId="175" fontId="12" fillId="0" borderId="76" xfId="1" applyNumberFormat="1" applyFont="1" applyBorder="1"/>
    <xf numFmtId="179" fontId="14" fillId="0" borderId="42" xfId="1" applyNumberFormat="1" applyFont="1" applyBorder="1"/>
    <xf numFmtId="179" fontId="14" fillId="0" borderId="76" xfId="6" applyNumberFormat="1" applyFont="1" applyBorder="1" applyAlignment="1">
      <alignment horizontal="center"/>
    </xf>
    <xf numFmtId="175" fontId="14" fillId="0" borderId="53" xfId="1" applyNumberFormat="1" applyFont="1" applyBorder="1"/>
    <xf numFmtId="175" fontId="14" fillId="0" borderId="84" xfId="1" applyNumberFormat="1" applyFont="1" applyBorder="1"/>
    <xf numFmtId="0" fontId="16" fillId="0" borderId="12" xfId="0" applyNumberFormat="1" applyFont="1" applyBorder="1"/>
    <xf numFmtId="0" fontId="16" fillId="0" borderId="75" xfId="0" applyNumberFormat="1" applyFont="1" applyBorder="1" applyAlignment="1">
      <alignment horizontal="center"/>
    </xf>
    <xf numFmtId="174" fontId="14" fillId="0" borderId="75" xfId="0" applyNumberFormat="1" applyFont="1" applyBorder="1" applyAlignment="1">
      <alignment horizontal="center"/>
    </xf>
    <xf numFmtId="0" fontId="12" fillId="0" borderId="76" xfId="0" applyNumberFormat="1" applyFont="1" applyBorder="1" applyAlignment="1">
      <alignment horizontal="center"/>
    </xf>
    <xf numFmtId="0" fontId="14" fillId="0" borderId="76" xfId="0" applyNumberFormat="1" applyFont="1" applyBorder="1" applyAlignment="1">
      <alignment horizontal="center"/>
    </xf>
    <xf numFmtId="174" fontId="14" fillId="0" borderId="79" xfId="0" applyNumberFormat="1" applyFont="1" applyBorder="1"/>
    <xf numFmtId="0" fontId="16" fillId="0" borderId="76" xfId="0" applyNumberFormat="1" applyFont="1" applyBorder="1" applyAlignment="1">
      <alignment horizontal="center"/>
    </xf>
    <xf numFmtId="0" fontId="14" fillId="0" borderId="50" xfId="0" applyNumberFormat="1" applyFont="1" applyBorder="1"/>
    <xf numFmtId="0" fontId="14" fillId="0" borderId="79" xfId="0" applyNumberFormat="1" applyFont="1" applyBorder="1" applyAlignment="1">
      <alignment horizontal="center"/>
    </xf>
    <xf numFmtId="0" fontId="14" fillId="0" borderId="50" xfId="0" applyNumberFormat="1" applyFont="1" applyBorder="1" applyAlignment="1">
      <alignment vertical="center" wrapText="1"/>
    </xf>
    <xf numFmtId="0" fontId="14" fillId="0" borderId="79" xfId="0" applyNumberFormat="1" applyFont="1" applyBorder="1" applyAlignment="1">
      <alignment horizontal="center" vertical="center" wrapText="1"/>
    </xf>
    <xf numFmtId="174" fontId="14" fillId="0" borderId="50" xfId="0" applyNumberFormat="1" applyFont="1" applyBorder="1" applyAlignment="1">
      <alignment vertical="center"/>
    </xf>
    <xf numFmtId="174" fontId="14" fillId="0" borderId="46" xfId="0" applyNumberFormat="1" applyFont="1" applyBorder="1" applyAlignment="1">
      <alignment vertical="center"/>
    </xf>
    <xf numFmtId="174" fontId="14" fillId="0" borderId="79" xfId="0" applyNumberFormat="1" applyFont="1" applyBorder="1" applyAlignment="1">
      <alignment vertical="center"/>
    </xf>
    <xf numFmtId="174" fontId="14" fillId="0" borderId="49" xfId="0" applyNumberFormat="1" applyFont="1" applyBorder="1" applyAlignment="1">
      <alignment vertical="center"/>
    </xf>
    <xf numFmtId="0" fontId="12" fillId="0" borderId="76" xfId="0" applyNumberFormat="1" applyFont="1" applyBorder="1" applyAlignment="1">
      <alignment horizontal="center" vertical="top" wrapText="1"/>
    </xf>
    <xf numFmtId="0" fontId="14" fillId="0" borderId="84" xfId="0" quotePrefix="1" applyNumberFormat="1" applyFont="1" applyBorder="1" applyAlignment="1">
      <alignment horizontal="center" vertical="center" wrapText="1"/>
    </xf>
    <xf numFmtId="0" fontId="18" fillId="0" borderId="0" xfId="0" applyNumberFormat="1" applyFont="1" applyBorder="1" applyAlignment="1">
      <alignment vertical="center" wrapText="1"/>
    </xf>
    <xf numFmtId="164" fontId="17" fillId="0" borderId="0" xfId="1" applyNumberFormat="1" applyFont="1"/>
    <xf numFmtId="0" fontId="19" fillId="0" borderId="0" xfId="0" applyFont="1" applyBorder="1" applyAlignment="1">
      <alignment horizontal="center" vertical="center" wrapText="1"/>
    </xf>
    <xf numFmtId="0" fontId="12" fillId="0" borderId="84" xfId="0" quotePrefix="1" applyNumberFormat="1" applyFont="1" applyBorder="1" applyAlignment="1">
      <alignment horizontal="center" vertical="center" wrapText="1"/>
    </xf>
    <xf numFmtId="0" fontId="12" fillId="0" borderId="3" xfId="0" applyNumberFormat="1" applyFont="1" applyFill="1" applyBorder="1" applyAlignment="1"/>
    <xf numFmtId="0" fontId="17" fillId="0" borderId="0" xfId="0" applyFont="1" applyFill="1" applyAlignment="1">
      <alignment horizontal="center"/>
    </xf>
    <xf numFmtId="0" fontId="14" fillId="0" borderId="68" xfId="0" applyNumberFormat="1" applyFont="1" applyFill="1" applyBorder="1" applyAlignment="1">
      <alignment vertical="center" wrapText="1"/>
    </xf>
    <xf numFmtId="174" fontId="14" fillId="0" borderId="68" xfId="0" applyNumberFormat="1" applyFont="1" applyFill="1" applyBorder="1" applyAlignment="1">
      <alignment vertical="center"/>
    </xf>
    <xf numFmtId="174" fontId="14" fillId="0" borderId="71" xfId="0" applyNumberFormat="1" applyFont="1" applyFill="1" applyBorder="1" applyAlignment="1">
      <alignment vertical="center"/>
    </xf>
    <xf numFmtId="174" fontId="14" fillId="0" borderId="72" xfId="0" applyNumberFormat="1" applyFont="1" applyFill="1" applyBorder="1" applyAlignment="1">
      <alignment vertical="center"/>
    </xf>
    <xf numFmtId="168" fontId="14" fillId="0" borderId="89" xfId="0" applyNumberFormat="1" applyFont="1" applyFill="1" applyBorder="1" applyAlignment="1">
      <alignment vertical="center"/>
    </xf>
    <xf numFmtId="168" fontId="14" fillId="0" borderId="90" xfId="0" applyNumberFormat="1" applyFont="1" applyFill="1" applyBorder="1" applyAlignment="1">
      <alignment vertical="center"/>
    </xf>
    <xf numFmtId="168" fontId="14" fillId="0" borderId="91" xfId="0" applyNumberFormat="1" applyFont="1" applyFill="1" applyBorder="1" applyAlignment="1">
      <alignment vertical="center"/>
    </xf>
    <xf numFmtId="0" fontId="12" fillId="0" borderId="0" xfId="0" applyFont="1" applyFill="1" applyAlignment="1">
      <alignment vertical="center"/>
    </xf>
    <xf numFmtId="0" fontId="12" fillId="0" borderId="5" xfId="0" applyNumberFormat="1" applyFont="1" applyFill="1" applyBorder="1"/>
    <xf numFmtId="174" fontId="12" fillId="0" borderId="4" xfId="0" applyNumberFormat="1" applyFont="1" applyFill="1" applyBorder="1"/>
    <xf numFmtId="174" fontId="12" fillId="0" borderId="36" xfId="0" applyNumberFormat="1" applyFont="1" applyFill="1" applyBorder="1"/>
    <xf numFmtId="174" fontId="12" fillId="0" borderId="10" xfId="0" applyNumberFormat="1" applyFont="1" applyFill="1" applyBorder="1"/>
    <xf numFmtId="0" fontId="14" fillId="0" borderId="92" xfId="0" applyFont="1" applyFill="1" applyBorder="1" applyAlignment="1">
      <alignment horizontal="center" vertical="center" wrapText="1"/>
    </xf>
    <xf numFmtId="0" fontId="16" fillId="0" borderId="11" xfId="0" applyNumberFormat="1" applyFont="1" applyBorder="1"/>
    <xf numFmtId="173" fontId="12" fillId="0" borderId="47" xfId="0" applyNumberFormat="1" applyFont="1" applyFill="1" applyBorder="1"/>
    <xf numFmtId="173" fontId="12" fillId="0" borderId="45" xfId="0" applyNumberFormat="1" applyFont="1" applyFill="1" applyBorder="1"/>
    <xf numFmtId="0" fontId="12" fillId="0" borderId="1" xfId="0" applyNumberFormat="1" applyFont="1" applyBorder="1" applyAlignment="1">
      <alignment horizontal="left" indent="1"/>
    </xf>
    <xf numFmtId="0" fontId="14" fillId="0" borderId="1" xfId="0" applyNumberFormat="1" applyFont="1" applyBorder="1"/>
    <xf numFmtId="173" fontId="14" fillId="0" borderId="51" xfId="0" applyNumberFormat="1" applyFont="1" applyFill="1" applyBorder="1"/>
    <xf numFmtId="173" fontId="14" fillId="0" borderId="50" xfId="0" applyNumberFormat="1" applyFont="1" applyFill="1" applyBorder="1"/>
    <xf numFmtId="173" fontId="14" fillId="0" borderId="48" xfId="0" applyNumberFormat="1" applyFont="1" applyFill="1" applyBorder="1"/>
    <xf numFmtId="173" fontId="14" fillId="0" borderId="63" xfId="0" applyNumberFormat="1" applyFont="1" applyFill="1" applyBorder="1"/>
    <xf numFmtId="173" fontId="14" fillId="0" borderId="60" xfId="0" applyNumberFormat="1" applyFont="1" applyFill="1" applyBorder="1"/>
    <xf numFmtId="173" fontId="14" fillId="0" borderId="61" xfId="0" applyNumberFormat="1" applyFont="1" applyFill="1" applyBorder="1"/>
    <xf numFmtId="173" fontId="14" fillId="0" borderId="62" xfId="0" applyNumberFormat="1" applyFont="1" applyFill="1" applyBorder="1"/>
    <xf numFmtId="173" fontId="14" fillId="0" borderId="59" xfId="0" applyNumberFormat="1" applyFont="1" applyFill="1" applyBorder="1"/>
    <xf numFmtId="173" fontId="14" fillId="0" borderId="47" xfId="0" applyNumberFormat="1" applyFont="1" applyFill="1" applyBorder="1"/>
    <xf numFmtId="173" fontId="14" fillId="0" borderId="3" xfId="0" applyNumberFormat="1" applyFont="1" applyFill="1" applyBorder="1"/>
    <xf numFmtId="173" fontId="14" fillId="0" borderId="0" xfId="0" applyNumberFormat="1" applyFont="1" applyFill="1" applyBorder="1"/>
    <xf numFmtId="0" fontId="12" fillId="0" borderId="5" xfId="0" applyNumberFormat="1" applyFont="1" applyBorder="1"/>
    <xf numFmtId="173" fontId="12" fillId="0" borderId="64" xfId="0" applyNumberFormat="1" applyFont="1" applyFill="1" applyBorder="1"/>
    <xf numFmtId="173" fontId="12" fillId="0" borderId="36" xfId="0" applyNumberFormat="1" applyFont="1" applyFill="1" applyBorder="1"/>
    <xf numFmtId="173" fontId="12" fillId="0" borderId="10" xfId="0" applyNumberFormat="1" applyFont="1" applyFill="1" applyBorder="1"/>
    <xf numFmtId="173" fontId="12" fillId="0" borderId="4" xfId="0" applyNumberFormat="1" applyFont="1" applyFill="1" applyBorder="1"/>
    <xf numFmtId="173" fontId="12" fillId="0" borderId="9" xfId="0" applyNumberFormat="1" applyFont="1" applyFill="1" applyBorder="1"/>
    <xf numFmtId="0" fontId="16" fillId="0" borderId="1" xfId="0" applyNumberFormat="1" applyFont="1" applyBorder="1"/>
    <xf numFmtId="0" fontId="15" fillId="0" borderId="1" xfId="0" applyNumberFormat="1" applyFont="1" applyBorder="1"/>
    <xf numFmtId="169" fontId="12" fillId="0" borderId="0" xfId="0" applyNumberFormat="1" applyFont="1"/>
    <xf numFmtId="173" fontId="12" fillId="0" borderId="43" xfId="0" applyNumberFormat="1" applyFont="1" applyFill="1" applyBorder="1"/>
    <xf numFmtId="173" fontId="12" fillId="0" borderId="7" xfId="0" applyNumberFormat="1" applyFont="1" applyFill="1" applyBorder="1"/>
    <xf numFmtId="173" fontId="12" fillId="0" borderId="12" xfId="0" applyNumberFormat="1" applyFont="1" applyFill="1" applyBorder="1"/>
    <xf numFmtId="173" fontId="12" fillId="0" borderId="6" xfId="0" applyNumberFormat="1" applyFont="1" applyFill="1" applyBorder="1"/>
    <xf numFmtId="0" fontId="12" fillId="0" borderId="5" xfId="0" applyFont="1" applyBorder="1"/>
    <xf numFmtId="0" fontId="14" fillId="0" borderId="7"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2" fillId="0" borderId="36" xfId="0" applyNumberFormat="1" applyFont="1" applyFill="1" applyBorder="1" applyAlignment="1">
      <alignment horizontal="center" vertical="center"/>
    </xf>
    <xf numFmtId="174" fontId="14" fillId="0" borderId="1" xfId="0" applyNumberFormat="1" applyFont="1" applyBorder="1" applyAlignment="1">
      <alignment horizontal="center"/>
    </xf>
    <xf numFmtId="174" fontId="12" fillId="0" borderId="44" xfId="0" applyNumberFormat="1" applyFont="1" applyBorder="1"/>
    <xf numFmtId="174" fontId="12" fillId="0" borderId="88" xfId="0" applyNumberFormat="1" applyFont="1" applyBorder="1"/>
    <xf numFmtId="0" fontId="9" fillId="0" borderId="0" xfId="0" applyFont="1" applyFill="1" applyBorder="1" applyAlignment="1">
      <alignment horizontal="left"/>
    </xf>
    <xf numFmtId="174" fontId="14" fillId="0" borderId="43" xfId="0" applyNumberFormat="1" applyFont="1" applyFill="1" applyBorder="1" applyAlignment="1">
      <alignment horizontal="center"/>
    </xf>
    <xf numFmtId="174" fontId="14" fillId="0" borderId="6" xfId="0" applyNumberFormat="1" applyFont="1" applyFill="1" applyBorder="1" applyAlignment="1">
      <alignment horizontal="center"/>
    </xf>
    <xf numFmtId="174" fontId="12" fillId="0" borderId="42" xfId="0" applyNumberFormat="1" applyFont="1" applyFill="1" applyBorder="1" applyAlignment="1">
      <alignment horizontal="right"/>
    </xf>
    <xf numFmtId="174" fontId="12" fillId="0" borderId="0" xfId="0" applyNumberFormat="1" applyFont="1" applyFill="1" applyBorder="1" applyAlignment="1">
      <alignment horizontal="right"/>
    </xf>
    <xf numFmtId="174" fontId="12" fillId="0" borderId="3" xfId="0" applyNumberFormat="1" applyFont="1" applyFill="1" applyBorder="1" applyAlignment="1">
      <alignment horizontal="right"/>
    </xf>
    <xf numFmtId="174" fontId="12" fillId="0" borderId="8" xfId="0" applyNumberFormat="1" applyFont="1" applyFill="1" applyBorder="1" applyAlignment="1">
      <alignment horizontal="right"/>
    </xf>
    <xf numFmtId="174" fontId="14" fillId="0" borderId="42" xfId="0" applyNumberFormat="1" applyFont="1" applyFill="1" applyBorder="1" applyAlignment="1">
      <alignment horizontal="right"/>
    </xf>
    <xf numFmtId="174" fontId="14" fillId="0" borderId="0" xfId="0" applyNumberFormat="1" applyFont="1" applyFill="1" applyBorder="1" applyAlignment="1">
      <alignment horizontal="right"/>
    </xf>
    <xf numFmtId="174" fontId="14" fillId="0" borderId="3" xfId="0" applyNumberFormat="1" applyFont="1" applyFill="1" applyBorder="1" applyAlignment="1">
      <alignment horizontal="right"/>
    </xf>
    <xf numFmtId="174" fontId="14" fillId="0" borderId="8" xfId="0" applyNumberFormat="1" applyFont="1" applyFill="1" applyBorder="1" applyAlignment="1">
      <alignment horizontal="right"/>
    </xf>
    <xf numFmtId="0" fontId="14" fillId="0" borderId="12" xfId="0" applyNumberFormat="1" applyFont="1" applyFill="1" applyBorder="1"/>
    <xf numFmtId="0" fontId="12" fillId="0" borderId="43" xfId="0" applyNumberFormat="1" applyFont="1" applyFill="1" applyBorder="1" applyAlignment="1">
      <alignment horizontal="center"/>
    </xf>
    <xf numFmtId="0" fontId="14" fillId="0" borderId="43" xfId="0" applyNumberFormat="1" applyFont="1" applyFill="1" applyBorder="1" applyAlignment="1">
      <alignment horizontal="center"/>
    </xf>
    <xf numFmtId="175" fontId="14" fillId="0" borderId="43" xfId="1" applyNumberFormat="1" applyFont="1" applyFill="1" applyBorder="1" applyAlignment="1">
      <alignment horizontal="center"/>
    </xf>
    <xf numFmtId="0" fontId="17" fillId="0" borderId="43" xfId="0" applyNumberFormat="1" applyFont="1" applyFill="1" applyBorder="1" applyAlignment="1">
      <alignment horizontal="center"/>
    </xf>
    <xf numFmtId="0" fontId="17" fillId="0" borderId="6" xfId="0" applyNumberFormat="1" applyFont="1" applyFill="1" applyBorder="1" applyAlignment="1">
      <alignment horizontal="center"/>
    </xf>
    <xf numFmtId="0" fontId="14" fillId="0" borderId="6" xfId="0" applyNumberFormat="1" applyFont="1" applyBorder="1" applyAlignment="1">
      <alignment horizontal="center"/>
    </xf>
    <xf numFmtId="0" fontId="14" fillId="0" borderId="75" xfId="0" applyNumberFormat="1" applyFont="1" applyBorder="1" applyAlignment="1">
      <alignment horizontal="center"/>
    </xf>
    <xf numFmtId="175" fontId="14" fillId="0" borderId="42" xfId="1" applyNumberFormat="1" applyFont="1" applyFill="1" applyBorder="1" applyAlignment="1">
      <alignment horizontal="center"/>
    </xf>
    <xf numFmtId="0" fontId="17" fillId="0" borderId="42" xfId="0" applyNumberFormat="1" applyFont="1" applyFill="1" applyBorder="1" applyAlignment="1">
      <alignment horizontal="center"/>
    </xf>
    <xf numFmtId="0" fontId="17" fillId="0" borderId="0" xfId="0" applyNumberFormat="1" applyFont="1" applyFill="1" applyBorder="1" applyAlignment="1">
      <alignment horizontal="center"/>
    </xf>
    <xf numFmtId="0" fontId="14" fillId="0" borderId="0" xfId="0" applyNumberFormat="1" applyFont="1" applyBorder="1" applyAlignment="1">
      <alignment horizontal="center"/>
    </xf>
    <xf numFmtId="0" fontId="17" fillId="0" borderId="3" xfId="0" applyNumberFormat="1" applyFont="1" applyFill="1" applyBorder="1"/>
    <xf numFmtId="0" fontId="12" fillId="0" borderId="76" xfId="0" applyNumberFormat="1" applyFont="1" applyBorder="1"/>
    <xf numFmtId="0" fontId="12" fillId="0" borderId="42" xfId="0" applyNumberFormat="1" applyFont="1" applyFill="1" applyBorder="1"/>
    <xf numFmtId="0" fontId="14" fillId="0" borderId="80" xfId="0" applyFont="1" applyFill="1" applyBorder="1" applyAlignment="1">
      <alignment horizontal="center" vertical="center" wrapText="1"/>
    </xf>
    <xf numFmtId="0" fontId="14" fillId="0" borderId="6" xfId="1" applyNumberFormat="1" applyFont="1" applyFill="1" applyBorder="1" applyAlignment="1">
      <alignment horizontal="center"/>
    </xf>
    <xf numFmtId="174" fontId="14" fillId="0" borderId="66" xfId="0" applyNumberFormat="1" applyFont="1" applyFill="1" applyBorder="1" applyAlignment="1">
      <alignment horizontal="center"/>
    </xf>
    <xf numFmtId="174" fontId="14" fillId="0" borderId="12" xfId="0" applyNumberFormat="1" applyFont="1" applyFill="1" applyBorder="1" applyAlignment="1">
      <alignment horizontal="center"/>
    </xf>
    <xf numFmtId="174" fontId="14" fillId="0" borderId="7" xfId="0" applyNumberFormat="1" applyFont="1" applyFill="1" applyBorder="1" applyAlignment="1">
      <alignment horizontal="center"/>
    </xf>
    <xf numFmtId="0" fontId="14" fillId="0" borderId="0" xfId="1" applyNumberFormat="1" applyFont="1" applyFill="1" applyBorder="1" applyAlignment="1">
      <alignment horizontal="center"/>
    </xf>
    <xf numFmtId="174" fontId="14" fillId="0" borderId="42" xfId="0" applyNumberFormat="1" applyFont="1" applyFill="1" applyBorder="1" applyAlignment="1">
      <alignment horizontal="center"/>
    </xf>
    <xf numFmtId="174" fontId="14" fillId="0" borderId="67" xfId="0" applyNumberFormat="1" applyFont="1" applyFill="1" applyBorder="1" applyAlignment="1">
      <alignment horizontal="center"/>
    </xf>
    <xf numFmtId="174" fontId="14" fillId="0" borderId="3" xfId="0" applyNumberFormat="1" applyFont="1" applyFill="1" applyBorder="1" applyAlignment="1">
      <alignment horizontal="center"/>
    </xf>
    <xf numFmtId="174" fontId="14" fillId="0" borderId="8" xfId="0" applyNumberFormat="1" applyFont="1" applyFill="1" applyBorder="1" applyAlignment="1">
      <alignment horizontal="center"/>
    </xf>
    <xf numFmtId="0" fontId="14" fillId="0" borderId="3" xfId="0" applyNumberFormat="1" applyFont="1" applyFill="1" applyBorder="1" applyAlignment="1">
      <alignment horizontal="left" indent="1"/>
    </xf>
    <xf numFmtId="0" fontId="12" fillId="0" borderId="42" xfId="0" applyFont="1" applyBorder="1"/>
    <xf numFmtId="176" fontId="12" fillId="0" borderId="42" xfId="1" applyNumberFormat="1" applyFont="1" applyFill="1" applyBorder="1" applyAlignment="1"/>
    <xf numFmtId="0" fontId="18" fillId="0" borderId="6" xfId="0" applyFont="1" applyBorder="1"/>
    <xf numFmtId="0" fontId="14" fillId="0" borderId="45" xfId="0" applyFont="1" applyFill="1" applyBorder="1" applyAlignment="1">
      <alignment horizontal="center" vertical="center"/>
    </xf>
    <xf numFmtId="174" fontId="14" fillId="0" borderId="42" xfId="0" applyNumberFormat="1" applyFont="1" applyBorder="1" applyAlignment="1">
      <alignment horizontal="right"/>
    </xf>
    <xf numFmtId="174" fontId="14" fillId="0" borderId="8" xfId="0" applyNumberFormat="1" applyFont="1" applyBorder="1" applyAlignment="1">
      <alignment horizontal="right"/>
    </xf>
    <xf numFmtId="174" fontId="14" fillId="0" borderId="3" xfId="0" applyNumberFormat="1" applyFont="1" applyBorder="1" applyAlignment="1">
      <alignment horizontal="right"/>
    </xf>
    <xf numFmtId="174" fontId="14" fillId="0" borderId="0" xfId="0" applyNumberFormat="1" applyFont="1" applyBorder="1" applyAlignment="1">
      <alignment horizontal="right"/>
    </xf>
    <xf numFmtId="174" fontId="14" fillId="0" borderId="47" xfId="0" applyNumberFormat="1" applyFont="1" applyBorder="1" applyAlignment="1">
      <alignment horizontal="right"/>
    </xf>
    <xf numFmtId="0" fontId="14" fillId="0" borderId="42" xfId="0" applyFont="1" applyBorder="1" applyAlignment="1">
      <alignment horizontal="center"/>
    </xf>
    <xf numFmtId="174" fontId="14" fillId="0" borderId="3" xfId="1" applyNumberFormat="1" applyFont="1" applyBorder="1" applyAlignment="1">
      <alignment horizontal="right"/>
    </xf>
    <xf numFmtId="174" fontId="14" fillId="0" borderId="8" xfId="1" applyNumberFormat="1" applyFont="1" applyBorder="1" applyAlignment="1">
      <alignment horizontal="right"/>
    </xf>
    <xf numFmtId="0" fontId="14" fillId="0" borderId="43" xfId="0" applyFont="1" applyFill="1" applyBorder="1" applyAlignment="1">
      <alignment horizontal="center" vertical="center"/>
    </xf>
    <xf numFmtId="49" fontId="14" fillId="0" borderId="45" xfId="0" applyNumberFormat="1" applyFont="1" applyFill="1" applyBorder="1" applyAlignment="1">
      <alignment horizontal="center" vertical="center" wrapText="1"/>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64" xfId="0" applyFont="1" applyFill="1" applyBorder="1" applyAlignment="1">
      <alignment horizontal="center" vertical="center" wrapText="1"/>
    </xf>
    <xf numFmtId="164" fontId="12" fillId="0" borderId="2" xfId="1" applyNumberFormat="1" applyFont="1" applyBorder="1"/>
    <xf numFmtId="0" fontId="14" fillId="0" borderId="36" xfId="0" applyFont="1" applyFill="1" applyBorder="1" applyAlignment="1">
      <alignment vertical="center"/>
    </xf>
    <xf numFmtId="0" fontId="14" fillId="0" borderId="64" xfId="0" applyFont="1" applyFill="1" applyBorder="1" applyAlignment="1"/>
    <xf numFmtId="49" fontId="14" fillId="0" borderId="64" xfId="0" applyNumberFormat="1" applyFont="1" applyFill="1" applyBorder="1" applyAlignment="1">
      <alignment vertical="center" wrapText="1"/>
    </xf>
    <xf numFmtId="174" fontId="14" fillId="0" borderId="76" xfId="0" applyNumberFormat="1" applyFont="1" applyBorder="1" applyAlignment="1">
      <alignment horizontal="center"/>
    </xf>
    <xf numFmtId="0" fontId="12" fillId="0" borderId="76" xfId="0" quotePrefix="1" applyNumberFormat="1" applyFont="1" applyBorder="1" applyAlignment="1">
      <alignment horizontal="center"/>
    </xf>
    <xf numFmtId="0" fontId="5" fillId="2" borderId="9" xfId="0" applyFont="1" applyFill="1" applyBorder="1" applyAlignment="1">
      <alignment horizontal="center" vertical="center"/>
    </xf>
    <xf numFmtId="49" fontId="14" fillId="0" borderId="45" xfId="0" applyNumberFormat="1" applyFont="1" applyFill="1" applyBorder="1" applyAlignment="1">
      <alignment vertical="center" wrapText="1"/>
    </xf>
    <xf numFmtId="0" fontId="14" fillId="0" borderId="75" xfId="0" applyFont="1" applyFill="1" applyBorder="1" applyAlignment="1">
      <alignment vertical="center"/>
    </xf>
    <xf numFmtId="0" fontId="14" fillId="0" borderId="77" xfId="0" applyFont="1" applyFill="1" applyBorder="1" applyAlignment="1">
      <alignment vertical="center"/>
    </xf>
    <xf numFmtId="0" fontId="14" fillId="0" borderId="93" xfId="0" applyFont="1" applyFill="1" applyBorder="1" applyAlignment="1">
      <alignment horizontal="center" vertical="center" wrapText="1"/>
    </xf>
    <xf numFmtId="0" fontId="14" fillId="0" borderId="10" xfId="0" quotePrefix="1" applyFont="1" applyFill="1" applyBorder="1" applyAlignment="1">
      <alignment horizontal="center" vertical="center" wrapText="1"/>
    </xf>
    <xf numFmtId="49" fontId="14" fillId="0" borderId="11" xfId="0" applyNumberFormat="1" applyFont="1" applyFill="1" applyBorder="1" applyAlignment="1">
      <alignment vertical="center" wrapText="1"/>
    </xf>
    <xf numFmtId="0" fontId="14" fillId="0" borderId="11"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52" xfId="0" applyFont="1" applyFill="1" applyBorder="1" applyAlignment="1">
      <alignment horizontal="center" vertical="top" wrapText="1"/>
    </xf>
    <xf numFmtId="0" fontId="14" fillId="0" borderId="53" xfId="0" applyFont="1" applyFill="1" applyBorder="1" applyAlignment="1">
      <alignment horizontal="center" vertical="top" wrapText="1"/>
    </xf>
    <xf numFmtId="0" fontId="14" fillId="0" borderId="55" xfId="0" applyFont="1" applyFill="1" applyBorder="1" applyAlignment="1">
      <alignment horizontal="center" vertical="top" wrapText="1"/>
    </xf>
    <xf numFmtId="0" fontId="14" fillId="0" borderId="54" xfId="0" applyFont="1" applyFill="1" applyBorder="1" applyAlignment="1">
      <alignment horizontal="center" vertical="center" wrapText="1"/>
    </xf>
    <xf numFmtId="0" fontId="13" fillId="7" borderId="12" xfId="0" applyFont="1" applyFill="1" applyBorder="1"/>
    <xf numFmtId="0" fontId="13" fillId="7" borderId="6" xfId="0" applyFont="1" applyFill="1" applyBorder="1" applyAlignment="1">
      <alignment horizontal="left"/>
    </xf>
    <xf numFmtId="172" fontId="2" fillId="0" borderId="6" xfId="0" applyNumberFormat="1" applyFont="1" applyBorder="1"/>
    <xf numFmtId="172" fontId="2" fillId="0" borderId="0" xfId="0" applyNumberFormat="1" applyFont="1" applyBorder="1"/>
    <xf numFmtId="172" fontId="5" fillId="0" borderId="0" xfId="0" applyNumberFormat="1" applyFont="1" applyBorder="1"/>
    <xf numFmtId="172" fontId="4" fillId="0" borderId="94" xfId="0" applyNumberFormat="1" applyFont="1" applyBorder="1"/>
    <xf numFmtId="172" fontId="4" fillId="0" borderId="95" xfId="0" applyNumberFormat="1" applyFont="1" applyBorder="1"/>
    <xf numFmtId="172" fontId="2" fillId="0" borderId="94" xfId="0" applyNumberFormat="1" applyFont="1" applyBorder="1"/>
    <xf numFmtId="172" fontId="2" fillId="0" borderId="95" xfId="0" applyNumberFormat="1" applyFont="1" applyBorder="1"/>
    <xf numFmtId="172" fontId="4" fillId="0" borderId="0" xfId="0" applyNumberFormat="1" applyFont="1" applyBorder="1"/>
    <xf numFmtId="172" fontId="5" fillId="0" borderId="35" xfId="0" applyNumberFormat="1" applyFont="1" applyBorder="1"/>
    <xf numFmtId="172" fontId="5" fillId="0" borderId="94" xfId="0" applyNumberFormat="1" applyFont="1" applyBorder="1"/>
    <xf numFmtId="172" fontId="5" fillId="0" borderId="95" xfId="0" applyNumberFormat="1" applyFont="1" applyBorder="1"/>
    <xf numFmtId="172" fontId="2" fillId="0" borderId="96" xfId="0" applyNumberFormat="1" applyFont="1" applyBorder="1"/>
    <xf numFmtId="0" fontId="21" fillId="0" borderId="0" xfId="0" applyFont="1"/>
    <xf numFmtId="174" fontId="12" fillId="0" borderId="36" xfId="1" applyNumberFormat="1" applyFont="1" applyBorder="1"/>
    <xf numFmtId="174" fontId="14" fillId="0" borderId="9" xfId="0" applyNumberFormat="1" applyFont="1" applyFill="1" applyBorder="1"/>
    <xf numFmtId="174" fontId="17" fillId="0" borderId="46" xfId="0" applyNumberFormat="1" applyFont="1" applyFill="1" applyBorder="1"/>
    <xf numFmtId="174" fontId="17" fillId="0" borderId="49" xfId="0" applyNumberFormat="1" applyFont="1" applyFill="1" applyBorder="1"/>
    <xf numFmtId="174" fontId="17" fillId="0" borderId="50" xfId="0" applyNumberFormat="1" applyFont="1" applyFill="1" applyBorder="1"/>
    <xf numFmtId="174" fontId="17" fillId="0" borderId="48" xfId="0" applyNumberFormat="1" applyFont="1" applyFill="1" applyBorder="1"/>
    <xf numFmtId="174" fontId="17" fillId="0" borderId="51" xfId="0" applyNumberFormat="1" applyFont="1" applyFill="1" applyBorder="1"/>
    <xf numFmtId="164" fontId="17" fillId="0" borderId="0" xfId="1" applyNumberFormat="1" applyFont="1" applyFill="1" applyBorder="1" applyAlignment="1">
      <alignment horizontal="right"/>
    </xf>
    <xf numFmtId="0" fontId="13" fillId="7" borderId="11" xfId="0" applyFont="1" applyFill="1" applyBorder="1" applyAlignment="1">
      <alignment horizontal="left"/>
    </xf>
    <xf numFmtId="0" fontId="13" fillId="7" borderId="12" xfId="0" applyFont="1" applyFill="1" applyBorder="1" applyAlignment="1">
      <alignment horizontal="left"/>
    </xf>
    <xf numFmtId="16" fontId="2" fillId="0" borderId="1" xfId="0" quotePrefix="1" applyNumberFormat="1" applyFont="1" applyBorder="1" applyAlignment="1">
      <alignment horizontal="center"/>
    </xf>
    <xf numFmtId="0" fontId="2" fillId="0" borderId="1" xfId="0" quotePrefix="1" applyFont="1" applyBorder="1" applyAlignment="1">
      <alignment horizontal="center"/>
    </xf>
    <xf numFmtId="0" fontId="13" fillId="8" borderId="17" xfId="0" applyFont="1" applyFill="1" applyBorder="1" applyAlignment="1">
      <alignment horizontal="left"/>
    </xf>
    <xf numFmtId="0" fontId="5" fillId="8" borderId="35" xfId="0" applyFont="1" applyFill="1" applyBorder="1"/>
    <xf numFmtId="172" fontId="22" fillId="0" borderId="11" xfId="0" applyNumberFormat="1" applyFont="1" applyBorder="1"/>
    <xf numFmtId="0" fontId="12" fillId="0" borderId="0" xfId="0" applyFont="1" applyBorder="1" applyAlignment="1" applyProtection="1">
      <alignment horizontal="center"/>
      <protection locked="0"/>
    </xf>
    <xf numFmtId="0" fontId="17" fillId="0" borderId="0" xfId="0" applyFont="1" applyFill="1" applyBorder="1" applyProtection="1">
      <protection locked="0"/>
    </xf>
    <xf numFmtId="168" fontId="14" fillId="0" borderId="0" xfId="0" applyNumberFormat="1" applyFont="1" applyFill="1" applyBorder="1" applyProtection="1">
      <protection locked="0"/>
    </xf>
    <xf numFmtId="0" fontId="14" fillId="0" borderId="0" xfId="0" applyFont="1" applyBorder="1" applyProtection="1">
      <protection locked="0"/>
    </xf>
    <xf numFmtId="168" fontId="14" fillId="0" borderId="0" xfId="0" applyNumberFormat="1" applyFont="1" applyBorder="1" applyProtection="1">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right"/>
      <protection locked="0"/>
    </xf>
    <xf numFmtId="164" fontId="12" fillId="0" borderId="0" xfId="1" applyNumberFormat="1" applyFont="1" applyProtection="1">
      <protection locked="0"/>
    </xf>
    <xf numFmtId="0" fontId="12" fillId="0" borderId="42" xfId="0" applyNumberFormat="1" applyFont="1" applyBorder="1" applyAlignment="1" applyProtection="1">
      <alignment horizontal="center"/>
      <protection locked="0"/>
    </xf>
    <xf numFmtId="0" fontId="12" fillId="0" borderId="53" xfId="0" applyNumberFormat="1" applyFont="1" applyBorder="1" applyAlignment="1" applyProtection="1">
      <alignment horizontal="center"/>
      <protection locked="0"/>
    </xf>
    <xf numFmtId="0" fontId="12" fillId="0" borderId="0" xfId="0" applyFont="1" applyAlignment="1" applyProtection="1">
      <alignment horizontal="center"/>
      <protection locked="0"/>
    </xf>
    <xf numFmtId="174" fontId="12" fillId="9" borderId="42" xfId="0" applyNumberFormat="1" applyFont="1" applyFill="1" applyBorder="1" applyAlignment="1" applyProtection="1">
      <alignment horizontal="right"/>
      <protection locked="0"/>
    </xf>
    <xf numFmtId="174" fontId="12" fillId="9" borderId="8" xfId="0" applyNumberFormat="1" applyFont="1" applyFill="1" applyBorder="1" applyAlignment="1" applyProtection="1">
      <alignment horizontal="right"/>
      <protection locked="0"/>
    </xf>
    <xf numFmtId="174" fontId="12" fillId="9" borderId="3" xfId="0" applyNumberFormat="1" applyFont="1" applyFill="1" applyBorder="1" applyAlignment="1" applyProtection="1">
      <alignment horizontal="right"/>
      <protection locked="0"/>
    </xf>
    <xf numFmtId="174" fontId="12" fillId="9" borderId="0" xfId="0" applyNumberFormat="1" applyFont="1" applyFill="1" applyBorder="1" applyAlignment="1" applyProtection="1">
      <alignment horizontal="right"/>
      <protection locked="0"/>
    </xf>
    <xf numFmtId="174" fontId="12" fillId="9" borderId="42" xfId="0" applyNumberFormat="1" applyFont="1" applyFill="1" applyBorder="1" applyProtection="1">
      <protection locked="0"/>
    </xf>
    <xf numFmtId="174" fontId="12" fillId="9" borderId="8" xfId="0" applyNumberFormat="1" applyFont="1" applyFill="1" applyBorder="1" applyProtection="1">
      <protection locked="0"/>
    </xf>
    <xf numFmtId="174" fontId="12" fillId="9" borderId="3" xfId="0" applyNumberFormat="1" applyFont="1" applyFill="1" applyBorder="1" applyProtection="1">
      <protection locked="0"/>
    </xf>
    <xf numFmtId="174" fontId="12" fillId="9" borderId="0" xfId="0" applyNumberFormat="1" applyFont="1" applyFill="1" applyBorder="1" applyProtection="1">
      <protection locked="0"/>
    </xf>
    <xf numFmtId="174" fontId="12" fillId="9" borderId="47" xfId="0" applyNumberFormat="1" applyFont="1" applyFill="1" applyBorder="1" applyProtection="1">
      <protection locked="0"/>
    </xf>
    <xf numFmtId="0" fontId="14" fillId="0" borderId="42" xfId="0" applyNumberFormat="1" applyFont="1" applyBorder="1" applyAlignment="1" applyProtection="1">
      <alignment horizontal="center"/>
      <protection locked="0"/>
    </xf>
    <xf numFmtId="168" fontId="15" fillId="0" borderId="0" xfId="0" applyNumberFormat="1" applyFont="1" applyBorder="1" applyProtection="1">
      <protection locked="0"/>
    </xf>
    <xf numFmtId="0" fontId="17" fillId="0" borderId="0" xfId="0" applyNumberFormat="1" applyFont="1" applyBorder="1" applyProtection="1">
      <protection locked="0"/>
    </xf>
    <xf numFmtId="0" fontId="12" fillId="0" borderId="0" xfId="0" applyFont="1" applyBorder="1" applyAlignment="1" applyProtection="1">
      <protection locked="0"/>
    </xf>
    <xf numFmtId="0" fontId="12" fillId="0" borderId="0" xfId="0" applyFont="1" applyBorder="1" applyProtection="1">
      <protection locked="0"/>
    </xf>
    <xf numFmtId="0" fontId="12" fillId="0" borderId="0" xfId="0" applyFont="1" applyFill="1" applyBorder="1" applyProtection="1">
      <protection locked="0"/>
    </xf>
    <xf numFmtId="174" fontId="12" fillId="0" borderId="42" xfId="0" applyNumberFormat="1" applyFont="1" applyFill="1" applyBorder="1" applyProtection="1"/>
    <xf numFmtId="174" fontId="12" fillId="0" borderId="8" xfId="0" applyNumberFormat="1" applyFont="1" applyFill="1" applyBorder="1" applyProtection="1"/>
    <xf numFmtId="174" fontId="12" fillId="0" borderId="3" xfId="0" applyNumberFormat="1" applyFont="1" applyFill="1" applyBorder="1" applyProtection="1"/>
    <xf numFmtId="174" fontId="12" fillId="0" borderId="0" xfId="0" applyNumberFormat="1" applyFont="1" applyFill="1" applyBorder="1" applyProtection="1"/>
    <xf numFmtId="174" fontId="12" fillId="0" borderId="47" xfId="0" applyNumberFormat="1" applyFont="1" applyFill="1" applyBorder="1" applyProtection="1"/>
    <xf numFmtId="0" fontId="19" fillId="0" borderId="0" xfId="0" applyFont="1" applyBorder="1" applyProtection="1">
      <protection locked="0"/>
    </xf>
    <xf numFmtId="174" fontId="12" fillId="0" borderId="1" xfId="0" applyNumberFormat="1" applyFont="1" applyFill="1" applyBorder="1"/>
    <xf numFmtId="174" fontId="12" fillId="0" borderId="42" xfId="0" applyNumberFormat="1" applyFont="1" applyFill="1" applyBorder="1" applyAlignment="1" applyProtection="1"/>
    <xf numFmtId="174" fontId="12" fillId="0" borderId="8" xfId="0" applyNumberFormat="1" applyFont="1" applyFill="1" applyBorder="1" applyAlignment="1" applyProtection="1"/>
    <xf numFmtId="174" fontId="12" fillId="0" borderId="3" xfId="0" applyNumberFormat="1" applyFont="1" applyFill="1" applyBorder="1" applyAlignment="1" applyProtection="1"/>
    <xf numFmtId="174" fontId="12" fillId="0" borderId="0" xfId="0" applyNumberFormat="1" applyFont="1" applyFill="1" applyBorder="1" applyAlignment="1" applyProtection="1"/>
    <xf numFmtId="174" fontId="12" fillId="0" borderId="47" xfId="0" applyNumberFormat="1" applyFont="1" applyFill="1" applyBorder="1" applyAlignment="1" applyProtection="1"/>
    <xf numFmtId="0" fontId="12" fillId="0" borderId="0" xfId="0" applyNumberFormat="1" applyFont="1" applyBorder="1" applyAlignment="1" applyProtection="1">
      <alignment horizontal="center"/>
      <protection locked="0"/>
    </xf>
    <xf numFmtId="10" fontId="12" fillId="0" borderId="0" xfId="0" applyNumberFormat="1" applyFont="1" applyProtection="1">
      <protection locked="0"/>
    </xf>
    <xf numFmtId="0" fontId="17" fillId="0" borderId="0" xfId="4" applyFont="1" applyAlignment="1" applyProtection="1">
      <alignment horizontal="center"/>
      <protection locked="0"/>
    </xf>
    <xf numFmtId="0" fontId="17" fillId="0" borderId="0" xfId="0" applyFont="1" applyProtection="1">
      <protection locked="0"/>
    </xf>
    <xf numFmtId="168" fontId="12" fillId="0" borderId="0" xfId="0" applyNumberFormat="1" applyFont="1" applyBorder="1" applyProtection="1">
      <protection locked="0"/>
    </xf>
    <xf numFmtId="43" fontId="12" fillId="0" borderId="0" xfId="1" applyFont="1" applyBorder="1" applyProtection="1">
      <protection locked="0"/>
    </xf>
    <xf numFmtId="0" fontId="17" fillId="0" borderId="0" xfId="0" applyFont="1" applyAlignment="1" applyProtection="1">
      <alignment horizontal="center"/>
      <protection locked="0"/>
    </xf>
    <xf numFmtId="0" fontId="17" fillId="0" borderId="0" xfId="0" applyNumberFormat="1" applyFont="1" applyProtection="1">
      <protection locked="0"/>
    </xf>
    <xf numFmtId="168" fontId="12" fillId="0" borderId="0" xfId="0" applyNumberFormat="1" applyFont="1" applyFill="1" applyProtection="1">
      <protection locked="0"/>
    </xf>
    <xf numFmtId="0" fontId="19" fillId="0" borderId="0" xfId="0" applyFont="1" applyBorder="1" applyAlignment="1" applyProtection="1">
      <alignment vertical="center" wrapText="1"/>
      <protection locked="0"/>
    </xf>
    <xf numFmtId="0" fontId="19" fillId="0" borderId="0" xfId="0" applyFont="1" applyFill="1" applyBorder="1" applyAlignment="1" applyProtection="1">
      <alignment horizontal="center" vertical="center" wrapText="1"/>
      <protection locked="0"/>
    </xf>
    <xf numFmtId="0" fontId="12" fillId="0" borderId="0" xfId="0" applyFont="1" applyFill="1" applyProtection="1">
      <protection locked="0"/>
    </xf>
    <xf numFmtId="0" fontId="19" fillId="0" borderId="0" xfId="0" applyFont="1" applyFill="1" applyBorder="1" applyAlignment="1" applyProtection="1">
      <alignment vertical="center" wrapText="1"/>
      <protection locked="0"/>
    </xf>
    <xf numFmtId="0" fontId="17" fillId="0" borderId="0" xfId="0" applyFont="1" applyBorder="1" applyAlignment="1" applyProtection="1">
      <alignment horizontal="left" vertical="top"/>
      <protection locked="0"/>
    </xf>
    <xf numFmtId="0" fontId="12" fillId="0" borderId="42" xfId="0" applyNumberFormat="1" applyFont="1" applyFill="1" applyBorder="1" applyAlignment="1" applyProtection="1">
      <alignment horizontal="center"/>
      <protection locked="0"/>
    </xf>
    <xf numFmtId="0" fontId="14" fillId="0" borderId="42" xfId="0" applyNumberFormat="1" applyFont="1" applyFill="1" applyBorder="1" applyAlignment="1" applyProtection="1">
      <alignment horizontal="center"/>
      <protection locked="0"/>
    </xf>
    <xf numFmtId="175" fontId="14" fillId="0" borderId="42" xfId="1" applyNumberFormat="1" applyFont="1" applyFill="1" applyBorder="1" applyAlignment="1" applyProtection="1">
      <alignment horizontal="center"/>
      <protection locked="0"/>
    </xf>
    <xf numFmtId="174" fontId="14" fillId="0" borderId="47" xfId="0" applyNumberFormat="1" applyFont="1" applyBorder="1" applyAlignment="1" applyProtection="1">
      <alignment horizontal="center"/>
      <protection locked="0"/>
    </xf>
    <xf numFmtId="174" fontId="14" fillId="0" borderId="42" xfId="0" applyNumberFormat="1" applyFont="1" applyBorder="1" applyAlignment="1" applyProtection="1">
      <alignment horizontal="center"/>
      <protection locked="0"/>
    </xf>
    <xf numFmtId="174" fontId="14" fillId="0" borderId="0" xfId="0" applyNumberFormat="1" applyFont="1" applyBorder="1" applyAlignment="1" applyProtection="1">
      <alignment horizontal="center"/>
      <protection locked="0"/>
    </xf>
    <xf numFmtId="174" fontId="14" fillId="0" borderId="3" xfId="0" applyNumberFormat="1" applyFont="1" applyBorder="1" applyAlignment="1" applyProtection="1">
      <alignment horizontal="center"/>
      <protection locked="0"/>
    </xf>
    <xf numFmtId="174" fontId="14" fillId="0" borderId="8" xfId="0" applyNumberFormat="1" applyFont="1" applyBorder="1" applyAlignment="1" applyProtection="1">
      <alignment horizontal="center"/>
      <protection locked="0"/>
    </xf>
    <xf numFmtId="0" fontId="14" fillId="0" borderId="0" xfId="0" applyNumberFormat="1" applyFont="1" applyBorder="1" applyAlignment="1" applyProtection="1">
      <alignment horizontal="center"/>
      <protection locked="0"/>
    </xf>
    <xf numFmtId="0" fontId="14" fillId="0" borderId="76" xfId="0" applyNumberFormat="1" applyFont="1" applyBorder="1" applyAlignment="1" applyProtection="1">
      <alignment horizontal="center"/>
      <protection locked="0"/>
    </xf>
    <xf numFmtId="174" fontId="14" fillId="0" borderId="43" xfId="0" applyNumberFormat="1" applyFont="1" applyBorder="1" applyAlignment="1" applyProtection="1">
      <alignment horizontal="center"/>
    </xf>
    <xf numFmtId="0" fontId="14" fillId="0" borderId="68" xfId="0" applyNumberFormat="1" applyFont="1" applyBorder="1"/>
    <xf numFmtId="0" fontId="12" fillId="0" borderId="71" xfId="0" applyNumberFormat="1" applyFont="1" applyBorder="1" applyAlignment="1">
      <alignment horizontal="center"/>
    </xf>
    <xf numFmtId="174" fontId="14" fillId="0" borderId="71" xfId="0" applyNumberFormat="1" applyFont="1" applyBorder="1" applyAlignment="1"/>
    <xf numFmtId="174" fontId="14" fillId="0" borderId="72" xfId="0" applyNumberFormat="1" applyFont="1" applyBorder="1" applyAlignment="1"/>
    <xf numFmtId="174" fontId="14" fillId="0" borderId="68" xfId="0" applyNumberFormat="1" applyFont="1" applyBorder="1" applyAlignment="1"/>
    <xf numFmtId="174" fontId="14" fillId="0" borderId="73" xfId="0" applyNumberFormat="1" applyFont="1" applyBorder="1" applyAlignment="1"/>
    <xf numFmtId="174" fontId="14" fillId="0" borderId="70" xfId="0" applyNumberFormat="1" applyFont="1" applyBorder="1" applyAlignment="1"/>
    <xf numFmtId="174" fontId="14" fillId="0" borderId="63" xfId="0" applyNumberFormat="1" applyFont="1" applyFill="1" applyBorder="1"/>
    <xf numFmtId="174" fontId="14" fillId="0" borderId="10" xfId="0" applyNumberFormat="1" applyFont="1" applyFill="1" applyBorder="1"/>
    <xf numFmtId="174" fontId="14" fillId="0" borderId="4" xfId="0" applyNumberFormat="1" applyFont="1" applyFill="1" applyBorder="1"/>
    <xf numFmtId="174" fontId="12" fillId="0" borderId="46" xfId="0" applyNumberFormat="1" applyFont="1" applyFill="1" applyBorder="1" applyProtection="1"/>
    <xf numFmtId="174" fontId="12" fillId="0" borderId="51" xfId="0" applyNumberFormat="1" applyFont="1" applyFill="1" applyBorder="1" applyProtection="1"/>
    <xf numFmtId="0" fontId="12" fillId="0" borderId="68" xfId="0" applyNumberFormat="1" applyFont="1" applyBorder="1" applyAlignment="1">
      <alignment horizontal="left" vertical="top" wrapText="1" indent="1"/>
    </xf>
    <xf numFmtId="0" fontId="12" fillId="0" borderId="68" xfId="0" applyNumberFormat="1" applyFont="1" applyFill="1" applyBorder="1" applyAlignment="1" applyProtection="1">
      <alignment horizontal="left" vertical="top" wrapText="1" indent="1"/>
    </xf>
    <xf numFmtId="164" fontId="12" fillId="0" borderId="97" xfId="1" applyNumberFormat="1" applyFont="1" applyFill="1" applyBorder="1" applyAlignment="1" applyProtection="1">
      <alignment horizontal="left" vertical="top" wrapText="1"/>
    </xf>
    <xf numFmtId="2" fontId="12" fillId="0" borderId="68" xfId="1" applyNumberFormat="1" applyFont="1" applyFill="1" applyBorder="1" applyAlignment="1" applyProtection="1">
      <alignment horizontal="center" vertical="top" wrapText="1"/>
    </xf>
    <xf numFmtId="2" fontId="12" fillId="0" borderId="71" xfId="1" applyNumberFormat="1" applyFont="1" applyFill="1" applyBorder="1" applyAlignment="1" applyProtection="1">
      <alignment horizontal="center" vertical="top" wrapText="1"/>
    </xf>
    <xf numFmtId="2" fontId="12" fillId="0" borderId="69" xfId="1" applyNumberFormat="1" applyFont="1" applyFill="1" applyBorder="1" applyAlignment="1" applyProtection="1">
      <alignment horizontal="center" vertical="top" wrapText="1"/>
    </xf>
    <xf numFmtId="2" fontId="12" fillId="0" borderId="98" xfId="1" applyNumberFormat="1" applyFont="1" applyFill="1" applyBorder="1" applyAlignment="1" applyProtection="1">
      <alignment horizontal="center" vertical="top" wrapText="1"/>
    </xf>
    <xf numFmtId="2" fontId="12" fillId="0" borderId="73" xfId="1" applyNumberFormat="1" applyFont="1" applyFill="1" applyBorder="1" applyAlignment="1" applyProtection="1">
      <alignment horizontal="center" vertical="top" wrapText="1"/>
    </xf>
    <xf numFmtId="2" fontId="12" fillId="0" borderId="72" xfId="1" applyNumberFormat="1" applyFont="1" applyFill="1" applyBorder="1" applyAlignment="1" applyProtection="1">
      <alignment horizontal="center" vertical="top" wrapText="1"/>
    </xf>
    <xf numFmtId="0" fontId="9" fillId="0" borderId="9" xfId="0" applyFont="1" applyFill="1" applyBorder="1" applyAlignment="1" applyProtection="1">
      <alignment horizontal="left"/>
    </xf>
    <xf numFmtId="0" fontId="7" fillId="0" borderId="0" xfId="0" applyFont="1" applyProtection="1"/>
    <xf numFmtId="0" fontId="14" fillId="0" borderId="41"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6" fillId="0" borderId="3" xfId="0" applyNumberFormat="1" applyFont="1" applyBorder="1" applyProtection="1"/>
    <xf numFmtId="0" fontId="12" fillId="0" borderId="42" xfId="0" applyNumberFormat="1" applyFont="1" applyFill="1" applyBorder="1" applyAlignment="1" applyProtection="1">
      <alignment horizontal="center"/>
    </xf>
    <xf numFmtId="174" fontId="14" fillId="0" borderId="42" xfId="0" applyNumberFormat="1" applyFont="1" applyFill="1" applyBorder="1" applyProtection="1"/>
    <xf numFmtId="174" fontId="14" fillId="0" borderId="8" xfId="0" applyNumberFormat="1" applyFont="1" applyFill="1" applyBorder="1" applyProtection="1"/>
    <xf numFmtId="174" fontId="14" fillId="0" borderId="3" xfId="0" applyNumberFormat="1" applyFont="1" applyFill="1" applyBorder="1" applyProtection="1"/>
    <xf numFmtId="174" fontId="14" fillId="0" borderId="0" xfId="0" applyNumberFormat="1" applyFont="1" applyFill="1" applyBorder="1" applyProtection="1"/>
    <xf numFmtId="174" fontId="14" fillId="0" borderId="47" xfId="0" applyNumberFormat="1" applyFont="1" applyFill="1" applyBorder="1" applyProtection="1"/>
    <xf numFmtId="0" fontId="20" fillId="0" borderId="3" xfId="0" applyNumberFormat="1" applyFont="1" applyBorder="1" applyAlignment="1" applyProtection="1">
      <alignment horizontal="left"/>
    </xf>
    <xf numFmtId="0" fontId="12" fillId="0" borderId="3" xfId="0" applyNumberFormat="1" applyFont="1" applyBorder="1" applyAlignment="1" applyProtection="1">
      <alignment horizontal="left" indent="1"/>
    </xf>
    <xf numFmtId="0" fontId="14" fillId="0" borderId="3" xfId="0" applyNumberFormat="1" applyFont="1" applyBorder="1" applyAlignment="1" applyProtection="1">
      <alignment horizontal="left"/>
    </xf>
    <xf numFmtId="174" fontId="14" fillId="0" borderId="46" xfId="0" applyNumberFormat="1" applyFont="1" applyFill="1" applyBorder="1" applyProtection="1"/>
    <xf numFmtId="174" fontId="14" fillId="0" borderId="51" xfId="0" applyNumberFormat="1" applyFont="1" applyFill="1" applyBorder="1" applyProtection="1"/>
    <xf numFmtId="0" fontId="12" fillId="0" borderId="68" xfId="0" applyNumberFormat="1" applyFont="1" applyBorder="1" applyProtection="1"/>
    <xf numFmtId="0" fontId="12" fillId="0" borderId="71" xfId="0" applyNumberFormat="1" applyFont="1" applyFill="1" applyBorder="1" applyAlignment="1" applyProtection="1">
      <alignment horizontal="center"/>
    </xf>
    <xf numFmtId="174" fontId="12" fillId="0" borderId="71" xfId="0" applyNumberFormat="1" applyFont="1" applyFill="1" applyBorder="1" applyProtection="1"/>
    <xf numFmtId="174" fontId="12" fillId="0" borderId="72" xfId="0" applyNumberFormat="1" applyFont="1" applyFill="1" applyBorder="1" applyProtection="1"/>
    <xf numFmtId="174" fontId="12" fillId="0" borderId="68" xfId="0" applyNumberFormat="1" applyFont="1" applyFill="1" applyBorder="1" applyProtection="1"/>
    <xf numFmtId="174" fontId="12" fillId="0" borderId="73" xfId="0" applyNumberFormat="1" applyFont="1" applyFill="1" applyBorder="1" applyProtection="1"/>
    <xf numFmtId="174" fontId="12" fillId="0" borderId="70" xfId="0" applyNumberFormat="1" applyFont="1" applyFill="1" applyBorder="1" applyProtection="1"/>
    <xf numFmtId="174" fontId="12" fillId="0" borderId="79" xfId="0" applyNumberFormat="1" applyFont="1" applyFill="1" applyBorder="1" applyProtection="1"/>
    <xf numFmtId="0" fontId="12" fillId="0" borderId="68" xfId="0" applyNumberFormat="1" applyFont="1" applyBorder="1" applyAlignment="1" applyProtection="1">
      <alignment horizontal="left" indent="1"/>
    </xf>
    <xf numFmtId="0" fontId="12" fillId="0" borderId="3" xfId="0" applyNumberFormat="1" applyFont="1" applyBorder="1" applyProtection="1"/>
    <xf numFmtId="174" fontId="12" fillId="0" borderId="76" xfId="0" applyNumberFormat="1" applyFont="1" applyFill="1" applyBorder="1" applyProtection="1"/>
    <xf numFmtId="0" fontId="12" fillId="0" borderId="36" xfId="0" applyNumberFormat="1" applyFont="1" applyFill="1" applyBorder="1" applyAlignment="1" applyProtection="1">
      <alignment horizontal="center"/>
    </xf>
    <xf numFmtId="174" fontId="14" fillId="0" borderId="53" xfId="0" applyNumberFormat="1" applyFont="1" applyFill="1" applyBorder="1" applyProtection="1"/>
    <xf numFmtId="174" fontId="14" fillId="0" borderId="55" xfId="0" applyNumberFormat="1" applyFont="1" applyFill="1" applyBorder="1" applyProtection="1"/>
    <xf numFmtId="174" fontId="14" fillId="0" borderId="52" xfId="0" applyNumberFormat="1" applyFont="1" applyFill="1" applyBorder="1" applyProtection="1"/>
    <xf numFmtId="174" fontId="14" fillId="0" borderId="54" xfId="0" applyNumberFormat="1" applyFont="1" applyFill="1" applyBorder="1" applyProtection="1"/>
    <xf numFmtId="174" fontId="14" fillId="0" borderId="56" xfId="0" applyNumberFormat="1" applyFont="1" applyFill="1" applyBorder="1" applyProtection="1"/>
    <xf numFmtId="0" fontId="18" fillId="0" borderId="0" xfId="0" applyFont="1" applyProtection="1"/>
    <xf numFmtId="0" fontId="17" fillId="0" borderId="0" xfId="0" applyFont="1" applyFill="1" applyBorder="1" applyProtection="1"/>
    <xf numFmtId="0" fontId="12" fillId="0" borderId="0" xfId="0" applyFont="1" applyFill="1" applyBorder="1" applyProtection="1"/>
    <xf numFmtId="0" fontId="14" fillId="0" borderId="5" xfId="0" applyFont="1" applyFill="1" applyBorder="1" applyAlignment="1">
      <alignment horizontal="left" vertical="center"/>
    </xf>
    <xf numFmtId="0" fontId="14" fillId="0" borderId="1" xfId="0" applyNumberFormat="1" applyFont="1" applyBorder="1" applyAlignment="1">
      <alignment wrapText="1"/>
    </xf>
    <xf numFmtId="0" fontId="12" fillId="0" borderId="1" xfId="0" applyNumberFormat="1" applyFont="1" applyBorder="1" applyAlignment="1">
      <alignment horizontal="left" wrapText="1" indent="1"/>
    </xf>
    <xf numFmtId="0" fontId="12" fillId="0" borderId="1" xfId="0" applyNumberFormat="1" applyFont="1" applyBorder="1"/>
    <xf numFmtId="0" fontId="16" fillId="0" borderId="11" xfId="0" applyFont="1" applyBorder="1"/>
    <xf numFmtId="0" fontId="12" fillId="0" borderId="1" xfId="0" applyFont="1" applyBorder="1" applyAlignment="1">
      <alignment horizontal="left" indent="1"/>
    </xf>
    <xf numFmtId="0" fontId="12" fillId="0" borderId="5" xfId="0" applyFont="1" applyFill="1" applyBorder="1"/>
    <xf numFmtId="0" fontId="5" fillId="10" borderId="0" xfId="0" applyFont="1" applyFill="1"/>
    <xf numFmtId="0" fontId="14" fillId="0" borderId="3" xfId="0" applyFont="1" applyFill="1" applyBorder="1" applyAlignment="1" applyProtection="1">
      <alignment horizontal="left" indent="1"/>
    </xf>
    <xf numFmtId="0" fontId="12" fillId="0" borderId="3" xfId="0" applyFont="1" applyFill="1" applyBorder="1" applyAlignment="1" applyProtection="1">
      <alignment horizontal="left" indent="1"/>
    </xf>
    <xf numFmtId="0" fontId="12" fillId="0" borderId="0" xfId="0" applyFont="1" applyAlignment="1">
      <alignment horizontal="left"/>
    </xf>
    <xf numFmtId="43" fontId="12" fillId="0" borderId="0" xfId="1" applyFont="1" applyFill="1" applyBorder="1" applyAlignment="1">
      <alignment horizontal="left"/>
    </xf>
    <xf numFmtId="43" fontId="12" fillId="0" borderId="0" xfId="0" applyNumberFormat="1" applyFont="1" applyAlignment="1">
      <alignment horizontal="left"/>
    </xf>
    <xf numFmtId="0" fontId="12" fillId="0" borderId="3" xfId="0" applyNumberFormat="1" applyFont="1" applyFill="1" applyBorder="1" applyAlignment="1" applyProtection="1">
      <alignment horizontal="left" indent="1"/>
    </xf>
    <xf numFmtId="175" fontId="17" fillId="0" borderId="42" xfId="1" applyNumberFormat="1" applyFont="1" applyFill="1" applyBorder="1" applyProtection="1"/>
    <xf numFmtId="175" fontId="17" fillId="0" borderId="8" xfId="1" applyNumberFormat="1" applyFont="1" applyFill="1" applyBorder="1" applyProtection="1"/>
    <xf numFmtId="175" fontId="17" fillId="0" borderId="3" xfId="1" applyNumberFormat="1" applyFont="1" applyFill="1" applyBorder="1" applyProtection="1"/>
    <xf numFmtId="175" fontId="17" fillId="0" borderId="76" xfId="1" applyNumberFormat="1" applyFont="1" applyFill="1" applyBorder="1" applyProtection="1"/>
    <xf numFmtId="175" fontId="17" fillId="0" borderId="0" xfId="1" applyNumberFormat="1" applyFont="1" applyFill="1" applyBorder="1" applyProtection="1"/>
    <xf numFmtId="0" fontId="2" fillId="0" borderId="0" xfId="0" applyFont="1" applyProtection="1"/>
    <xf numFmtId="168" fontId="14" fillId="0" borderId="42" xfId="0" applyNumberFormat="1" applyFont="1" applyBorder="1"/>
    <xf numFmtId="168" fontId="14" fillId="0" borderId="47" xfId="0" applyNumberFormat="1" applyFont="1" applyBorder="1"/>
    <xf numFmtId="0" fontId="16" fillId="0" borderId="3" xfId="0" applyFont="1" applyFill="1" applyBorder="1" applyAlignment="1">
      <alignment horizontal="left"/>
    </xf>
    <xf numFmtId="0" fontId="22" fillId="0" borderId="0" xfId="0" applyFont="1"/>
    <xf numFmtId="179" fontId="14" fillId="0" borderId="99" xfId="6" applyNumberFormat="1" applyFont="1" applyBorder="1" applyAlignment="1">
      <alignment horizontal="center"/>
    </xf>
    <xf numFmtId="0" fontId="14" fillId="0" borderId="3" xfId="0" applyFont="1" applyBorder="1" applyAlignment="1"/>
    <xf numFmtId="0" fontId="16" fillId="0" borderId="3" xfId="0" applyFont="1" applyBorder="1" applyAlignment="1"/>
    <xf numFmtId="0" fontId="12" fillId="0" borderId="42" xfId="0" applyNumberFormat="1" applyFont="1" applyBorder="1" applyAlignment="1" applyProtection="1">
      <alignment horizontal="center"/>
    </xf>
    <xf numFmtId="0" fontId="14" fillId="0" borderId="3" xfId="0" applyNumberFormat="1" applyFont="1" applyBorder="1" applyProtection="1"/>
    <xf numFmtId="0" fontId="19" fillId="0" borderId="42" xfId="0" applyNumberFormat="1" applyFont="1" applyBorder="1" applyAlignment="1" applyProtection="1">
      <alignment horizontal="center"/>
    </xf>
    <xf numFmtId="0" fontId="14" fillId="0" borderId="52" xfId="0" applyNumberFormat="1" applyFont="1" applyBorder="1" applyProtection="1"/>
    <xf numFmtId="0" fontId="12" fillId="0" borderId="53" xfId="0" applyNumberFormat="1" applyFont="1" applyBorder="1" applyAlignment="1" applyProtection="1">
      <alignment horizontal="center"/>
    </xf>
    <xf numFmtId="0" fontId="18" fillId="0" borderId="0" xfId="0" applyFont="1" applyBorder="1" applyAlignment="1" applyProtection="1">
      <alignment horizontal="left"/>
    </xf>
    <xf numFmtId="0" fontId="17" fillId="0" borderId="0" xfId="0" applyFont="1" applyBorder="1" applyAlignment="1" applyProtection="1">
      <alignment horizontal="center"/>
    </xf>
    <xf numFmtId="0" fontId="17" fillId="0" borderId="0" xfId="0" applyFont="1" applyBorder="1" applyProtection="1"/>
    <xf numFmtId="0" fontId="15" fillId="0" borderId="0" xfId="0" applyFont="1" applyBorder="1" applyProtection="1"/>
    <xf numFmtId="168" fontId="15" fillId="0" borderId="0" xfId="0" applyNumberFormat="1" applyFont="1" applyBorder="1" applyProtection="1"/>
    <xf numFmtId="0" fontId="17" fillId="0" borderId="0" xfId="0" quotePrefix="1" applyFont="1" applyBorder="1" applyProtection="1"/>
    <xf numFmtId="0" fontId="14" fillId="0" borderId="45" xfId="0" applyFont="1" applyFill="1" applyBorder="1" applyAlignment="1" applyProtection="1">
      <alignment horizontal="center" vertical="center"/>
    </xf>
    <xf numFmtId="0" fontId="14" fillId="0" borderId="43" xfId="0" applyFont="1" applyFill="1" applyBorder="1" applyAlignment="1" applyProtection="1">
      <alignment vertical="center"/>
    </xf>
    <xf numFmtId="0" fontId="14" fillId="0" borderId="4" xfId="0" applyFont="1" applyFill="1" applyBorder="1" applyAlignment="1" applyProtection="1">
      <alignment horizontal="left" vertical="center"/>
    </xf>
    <xf numFmtId="0" fontId="14" fillId="0" borderId="36" xfId="0" applyFont="1" applyFill="1" applyBorder="1" applyAlignment="1" applyProtection="1">
      <alignment vertical="center"/>
    </xf>
    <xf numFmtId="0" fontId="16" fillId="0" borderId="3" xfId="0" applyFont="1" applyBorder="1" applyProtection="1"/>
    <xf numFmtId="0" fontId="14" fillId="0" borderId="43" xfId="0" applyFont="1" applyBorder="1" applyAlignment="1" applyProtection="1">
      <alignment horizontal="center"/>
    </xf>
    <xf numFmtId="0" fontId="14" fillId="0" borderId="7" xfId="0" applyFont="1" applyBorder="1" applyAlignment="1" applyProtection="1">
      <alignment horizontal="center"/>
    </xf>
    <xf numFmtId="0" fontId="14" fillId="0" borderId="12" xfId="0" applyFont="1" applyBorder="1" applyAlignment="1" applyProtection="1">
      <alignment horizontal="center"/>
    </xf>
    <xf numFmtId="0" fontId="14" fillId="0" borderId="6" xfId="0" applyFont="1" applyBorder="1" applyAlignment="1" applyProtection="1">
      <alignment horizontal="center"/>
    </xf>
    <xf numFmtId="0" fontId="14" fillId="0" borderId="45" xfId="0" applyFont="1" applyBorder="1" applyAlignment="1" applyProtection="1">
      <alignment horizontal="center"/>
    </xf>
    <xf numFmtId="0" fontId="12" fillId="0" borderId="3" xfId="0" applyFont="1" applyBorder="1" applyAlignment="1" applyProtection="1">
      <alignment horizontal="left" indent="1"/>
    </xf>
    <xf numFmtId="174" fontId="12" fillId="0" borderId="42" xfId="0" applyNumberFormat="1" applyFont="1" applyBorder="1" applyAlignment="1" applyProtection="1">
      <alignment horizontal="right"/>
    </xf>
    <xf numFmtId="174" fontId="12" fillId="0" borderId="8" xfId="0" applyNumberFormat="1" applyFont="1" applyBorder="1" applyAlignment="1" applyProtection="1">
      <alignment horizontal="right"/>
    </xf>
    <xf numFmtId="174" fontId="12" fillId="0" borderId="3" xfId="0" applyNumberFormat="1" applyFont="1" applyBorder="1" applyAlignment="1" applyProtection="1">
      <alignment horizontal="right"/>
    </xf>
    <xf numFmtId="174" fontId="12" fillId="0" borderId="0" xfId="0" applyNumberFormat="1" applyFont="1" applyBorder="1" applyAlignment="1" applyProtection="1">
      <alignment horizontal="right"/>
    </xf>
    <xf numFmtId="174" fontId="12" fillId="0" borderId="47" xfId="0" applyNumberFormat="1" applyFont="1" applyBorder="1" applyAlignment="1" applyProtection="1">
      <alignment horizontal="right"/>
    </xf>
    <xf numFmtId="0" fontId="14" fillId="0" borderId="3" xfId="0" applyFont="1" applyBorder="1" applyAlignment="1" applyProtection="1">
      <alignment horizontal="left"/>
    </xf>
    <xf numFmtId="174" fontId="14" fillId="0" borderId="46" xfId="0" applyNumberFormat="1" applyFont="1" applyBorder="1" applyAlignment="1" applyProtection="1">
      <alignment horizontal="right"/>
    </xf>
    <xf numFmtId="174" fontId="14" fillId="0" borderId="49" xfId="0" applyNumberFormat="1" applyFont="1" applyBorder="1" applyAlignment="1" applyProtection="1">
      <alignment horizontal="right"/>
    </xf>
    <xf numFmtId="174" fontId="14" fillId="0" borderId="50" xfId="0" applyNumberFormat="1" applyFont="1" applyBorder="1" applyAlignment="1" applyProtection="1">
      <alignment horizontal="right"/>
    </xf>
    <xf numFmtId="174" fontId="14" fillId="0" borderId="48" xfId="0" applyNumberFormat="1" applyFont="1" applyBorder="1" applyAlignment="1" applyProtection="1">
      <alignment horizontal="right"/>
    </xf>
    <xf numFmtId="174" fontId="14" fillId="0" borderId="51" xfId="0" applyNumberFormat="1" applyFont="1" applyBorder="1" applyAlignment="1" applyProtection="1">
      <alignment horizontal="right"/>
    </xf>
    <xf numFmtId="0" fontId="12" fillId="0" borderId="3" xfId="0" applyFont="1" applyBorder="1" applyProtection="1"/>
    <xf numFmtId="174" fontId="12" fillId="0" borderId="42" xfId="0" applyNumberFormat="1" applyFont="1" applyBorder="1" applyProtection="1"/>
    <xf numFmtId="174" fontId="12" fillId="0" borderId="8" xfId="0" applyNumberFormat="1" applyFont="1" applyBorder="1" applyProtection="1"/>
    <xf numFmtId="174" fontId="12" fillId="0" borderId="3" xfId="0" applyNumberFormat="1" applyFont="1" applyBorder="1" applyProtection="1"/>
    <xf numFmtId="174" fontId="12" fillId="0" borderId="0" xfId="0" applyNumberFormat="1" applyFont="1" applyBorder="1" applyProtection="1"/>
    <xf numFmtId="174" fontId="12" fillId="0" borderId="47" xfId="0" applyNumberFormat="1" applyFont="1" applyBorder="1" applyProtection="1"/>
    <xf numFmtId="0" fontId="14" fillId="0" borderId="52" xfId="0" applyFont="1" applyBorder="1" applyProtection="1"/>
    <xf numFmtId="174" fontId="14" fillId="0" borderId="55" xfId="0" applyNumberFormat="1" applyFont="1" applyBorder="1" applyProtection="1"/>
    <xf numFmtId="174" fontId="14" fillId="0" borderId="52" xfId="0" applyNumberFormat="1" applyFont="1" applyBorder="1" applyProtection="1"/>
    <xf numFmtId="174" fontId="14" fillId="0" borderId="53" xfId="0" applyNumberFormat="1" applyFont="1" applyBorder="1" applyProtection="1"/>
    <xf numFmtId="174" fontId="14" fillId="0" borderId="54" xfId="0" applyNumberFormat="1" applyFont="1" applyBorder="1" applyProtection="1"/>
    <xf numFmtId="174" fontId="14" fillId="0" borderId="56" xfId="0" applyNumberFormat="1" applyFont="1" applyBorder="1" applyProtection="1"/>
    <xf numFmtId="0" fontId="18" fillId="0" borderId="0" xfId="0" applyFont="1" applyBorder="1" applyProtection="1"/>
    <xf numFmtId="0" fontId="12" fillId="0" borderId="0" xfId="0" applyFont="1" applyBorder="1" applyAlignment="1" applyProtection="1">
      <alignment horizontal="center"/>
    </xf>
    <xf numFmtId="0" fontId="14" fillId="0" borderId="0" xfId="0" applyFont="1" applyFill="1" applyBorder="1" applyProtection="1"/>
    <xf numFmtId="168" fontId="14" fillId="0" borderId="0" xfId="0" applyNumberFormat="1" applyFont="1" applyFill="1" applyBorder="1" applyProtection="1"/>
    <xf numFmtId="0" fontId="14" fillId="0" borderId="0" xfId="0" applyFont="1" applyBorder="1" applyProtection="1"/>
    <xf numFmtId="168" fontId="14" fillId="0" borderId="0" xfId="0" applyNumberFormat="1" applyFont="1" applyBorder="1" applyProtection="1"/>
    <xf numFmtId="0" fontId="17" fillId="0" borderId="0" xfId="0" applyFont="1" applyBorder="1" applyAlignment="1" applyProtection="1">
      <alignment horizontal="left"/>
    </xf>
    <xf numFmtId="0" fontId="17" fillId="0" borderId="0" xfId="0" applyFont="1" applyBorder="1" applyAlignment="1" applyProtection="1">
      <alignment horizontal="right"/>
    </xf>
    <xf numFmtId="164" fontId="12" fillId="0" borderId="0" xfId="1" applyNumberFormat="1" applyFont="1" applyProtection="1"/>
    <xf numFmtId="0" fontId="12" fillId="0" borderId="4" xfId="0" applyFont="1" applyBorder="1" applyProtection="1"/>
    <xf numFmtId="0" fontId="12" fillId="0" borderId="36" xfId="0" applyNumberFormat="1" applyFont="1" applyBorder="1" applyAlignment="1" applyProtection="1">
      <alignment horizontal="center"/>
    </xf>
    <xf numFmtId="174" fontId="12" fillId="0" borderId="36" xfId="0" applyNumberFormat="1" applyFont="1" applyBorder="1" applyProtection="1"/>
    <xf numFmtId="174" fontId="12" fillId="0" borderId="10" xfId="0" applyNumberFormat="1" applyFont="1" applyBorder="1" applyProtection="1"/>
    <xf numFmtId="174" fontId="12" fillId="0" borderId="4" xfId="0" applyNumberFormat="1" applyFont="1" applyBorder="1" applyProtection="1"/>
    <xf numFmtId="174" fontId="12" fillId="0" borderId="9" xfId="0" applyNumberFormat="1" applyFont="1" applyBorder="1" applyProtection="1"/>
    <xf numFmtId="174" fontId="12" fillId="0" borderId="64" xfId="0" applyNumberFormat="1" applyFont="1" applyBorder="1" applyProtection="1"/>
    <xf numFmtId="0" fontId="16" fillId="0" borderId="12" xfId="0" applyFont="1" applyBorder="1" applyProtection="1"/>
    <xf numFmtId="0" fontId="12" fillId="0" borderId="43" xfId="0" applyNumberFormat="1" applyFont="1" applyBorder="1" applyAlignment="1" applyProtection="1">
      <alignment horizontal="center"/>
    </xf>
    <xf numFmtId="174" fontId="12" fillId="0" borderId="43" xfId="0" applyNumberFormat="1" applyFont="1" applyBorder="1" applyProtection="1"/>
    <xf numFmtId="174" fontId="12" fillId="0" borderId="7" xfId="0" applyNumberFormat="1" applyFont="1" applyBorder="1" applyProtection="1"/>
    <xf numFmtId="174" fontId="12" fillId="0" borderId="12" xfId="0" applyNumberFormat="1" applyFont="1" applyBorder="1" applyProtection="1"/>
    <xf numFmtId="174" fontId="12" fillId="0" borderId="6" xfId="0" applyNumberFormat="1" applyFont="1" applyBorder="1" applyProtection="1"/>
    <xf numFmtId="174" fontId="12" fillId="0" borderId="45" xfId="0" applyNumberFormat="1" applyFont="1" applyBorder="1" applyProtection="1"/>
    <xf numFmtId="0" fontId="14" fillId="0" borderId="42" xfId="0" applyNumberFormat="1" applyFont="1" applyBorder="1" applyAlignment="1" applyProtection="1">
      <alignment horizontal="center"/>
    </xf>
    <xf numFmtId="174" fontId="14" fillId="0" borderId="42" xfId="0" applyNumberFormat="1" applyFont="1" applyBorder="1" applyAlignment="1" applyProtection="1">
      <alignment horizontal="right"/>
    </xf>
    <xf numFmtId="174" fontId="14" fillId="0" borderId="8" xfId="0" applyNumberFormat="1" applyFont="1" applyBorder="1" applyAlignment="1" applyProtection="1">
      <alignment horizontal="right"/>
    </xf>
    <xf numFmtId="174" fontId="14" fillId="0" borderId="3" xfId="0" applyNumberFormat="1" applyFont="1" applyBorder="1" applyAlignment="1" applyProtection="1">
      <alignment horizontal="right"/>
    </xf>
    <xf numFmtId="174" fontId="14" fillId="0" borderId="0" xfId="0" applyNumberFormat="1" applyFont="1" applyBorder="1" applyAlignment="1" applyProtection="1">
      <alignment horizontal="right"/>
    </xf>
    <xf numFmtId="174" fontId="14" fillId="0" borderId="47" xfId="0" applyNumberFormat="1" applyFont="1" applyBorder="1" applyAlignment="1" applyProtection="1">
      <alignment horizontal="right"/>
    </xf>
    <xf numFmtId="0" fontId="18" fillId="0" borderId="0" xfId="0" applyNumberFormat="1" applyFont="1" applyBorder="1" applyProtection="1"/>
    <xf numFmtId="0" fontId="17" fillId="0" borderId="0" xfId="0" applyNumberFormat="1" applyFont="1" applyBorder="1" applyProtection="1"/>
    <xf numFmtId="0" fontId="17" fillId="0" borderId="3" xfId="0" applyFont="1" applyBorder="1" applyAlignment="1" applyProtection="1">
      <alignment horizontal="right"/>
    </xf>
    <xf numFmtId="0" fontId="12" fillId="0" borderId="0" xfId="0" applyFont="1" applyBorder="1" applyProtection="1"/>
    <xf numFmtId="168" fontId="12" fillId="0" borderId="0" xfId="0" applyNumberFormat="1" applyFont="1" applyBorder="1" applyProtection="1"/>
    <xf numFmtId="0" fontId="17" fillId="0" borderId="0" xfId="0" quotePrefix="1" applyFont="1" applyBorder="1" applyAlignment="1" applyProtection="1">
      <alignment horizontal="left" wrapText="1"/>
    </xf>
    <xf numFmtId="43" fontId="12" fillId="0" borderId="0" xfId="1" applyFont="1" applyBorder="1" applyProtection="1"/>
    <xf numFmtId="174" fontId="12" fillId="0" borderId="0" xfId="1" applyNumberFormat="1" applyFont="1" applyBorder="1" applyProtection="1"/>
    <xf numFmtId="0" fontId="17" fillId="0" borderId="0" xfId="0" applyFont="1" applyFill="1" applyBorder="1" applyAlignment="1" applyProtection="1">
      <alignment horizontal="right"/>
    </xf>
    <xf numFmtId="0" fontId="15" fillId="0" borderId="3" xfId="0" applyNumberFormat="1" applyFont="1" applyFill="1" applyBorder="1" applyAlignment="1" applyProtection="1">
      <alignment horizontal="left" indent="1"/>
    </xf>
    <xf numFmtId="0" fontId="12" fillId="0" borderId="3" xfId="0" applyNumberFormat="1" applyFont="1" applyFill="1" applyBorder="1" applyAlignment="1" applyProtection="1">
      <alignment horizontal="left" indent="2"/>
    </xf>
    <xf numFmtId="174" fontId="12" fillId="0" borderId="47" xfId="0" applyNumberFormat="1" applyFont="1" applyBorder="1" applyAlignment="1">
      <alignment horizontal="right"/>
    </xf>
    <xf numFmtId="174" fontId="12" fillId="0" borderId="76" xfId="0" applyNumberFormat="1" applyFont="1" applyBorder="1" applyAlignment="1">
      <alignment horizontal="right"/>
    </xf>
    <xf numFmtId="0" fontId="12" fillId="0" borderId="74" xfId="0" applyFont="1" applyBorder="1" applyAlignment="1">
      <alignment horizontal="center"/>
    </xf>
    <xf numFmtId="174" fontId="14" fillId="0" borderId="74" xfId="0" applyNumberFormat="1" applyFont="1" applyBorder="1" applyAlignment="1">
      <alignment horizontal="right"/>
    </xf>
    <xf numFmtId="174" fontId="14" fillId="0" borderId="35" xfId="0" applyNumberFormat="1" applyFont="1" applyBorder="1"/>
    <xf numFmtId="174" fontId="14" fillId="0" borderId="17" xfId="0" applyNumberFormat="1" applyFont="1" applyBorder="1"/>
    <xf numFmtId="174" fontId="14" fillId="0" borderId="74" xfId="0" applyNumberFormat="1" applyFont="1" applyBorder="1"/>
    <xf numFmtId="174" fontId="14" fillId="0" borderId="34" xfId="0" applyNumberFormat="1" applyFont="1" applyBorder="1"/>
    <xf numFmtId="0" fontId="12" fillId="0" borderId="3" xfId="0" applyFont="1" applyFill="1" applyBorder="1" applyAlignment="1">
      <alignment horizontal="left" indent="2"/>
    </xf>
    <xf numFmtId="174" fontId="14" fillId="0" borderId="53" xfId="0" applyNumberFormat="1" applyFont="1" applyBorder="1" applyAlignment="1">
      <alignment vertical="top"/>
    </xf>
    <xf numFmtId="174" fontId="14" fillId="0" borderId="88" xfId="0" applyNumberFormat="1" applyFont="1" applyBorder="1" applyAlignment="1">
      <alignment vertical="top"/>
    </xf>
    <xf numFmtId="0" fontId="14" fillId="0" borderId="0" xfId="0" applyNumberFormat="1" applyFont="1" applyBorder="1" applyAlignment="1">
      <alignment vertical="center" wrapText="1"/>
    </xf>
    <xf numFmtId="0" fontId="12" fillId="0" borderId="0" xfId="0" quotePrefix="1" applyNumberFormat="1" applyFont="1" applyBorder="1" applyAlignment="1">
      <alignment horizontal="center" vertical="center" wrapText="1"/>
    </xf>
    <xf numFmtId="0" fontId="14" fillId="0" borderId="3" xfId="0" applyNumberFormat="1" applyFont="1" applyBorder="1" applyAlignment="1">
      <alignment vertical="center" wrapText="1"/>
    </xf>
    <xf numFmtId="0" fontId="12" fillId="0" borderId="76" xfId="0" quotePrefix="1" applyNumberFormat="1" applyFont="1" applyBorder="1" applyAlignment="1">
      <alignment horizontal="center" vertical="center" wrapText="1"/>
    </xf>
    <xf numFmtId="0" fontId="12" fillId="0" borderId="79" xfId="0" quotePrefix="1" applyNumberFormat="1" applyFont="1" applyBorder="1" applyAlignment="1">
      <alignment horizontal="center" vertical="center" wrapText="1"/>
    </xf>
    <xf numFmtId="0" fontId="14" fillId="0" borderId="47" xfId="0" applyFont="1" applyBorder="1"/>
    <xf numFmtId="0" fontId="17" fillId="0" borderId="3" xfId="0" applyNumberFormat="1" applyFont="1" applyBorder="1" applyAlignment="1">
      <alignment horizontal="left" indent="2"/>
    </xf>
    <xf numFmtId="174" fontId="12" fillId="0" borderId="42" xfId="0" applyNumberFormat="1" applyFont="1" applyFill="1" applyBorder="1" applyProtection="1">
      <protection locked="0"/>
    </xf>
    <xf numFmtId="174" fontId="12" fillId="0" borderId="47" xfId="0" applyNumberFormat="1" applyFont="1" applyFill="1" applyBorder="1" applyProtection="1">
      <protection locked="0"/>
    </xf>
    <xf numFmtId="174" fontId="17" fillId="0" borderId="46" xfId="0" applyNumberFormat="1" applyFont="1" applyFill="1" applyBorder="1" applyProtection="1"/>
    <xf numFmtId="174" fontId="17" fillId="0" borderId="49" xfId="0" applyNumberFormat="1" applyFont="1" applyFill="1" applyBorder="1" applyProtection="1"/>
    <xf numFmtId="174" fontId="17" fillId="0" borderId="50" xfId="0" applyNumberFormat="1" applyFont="1" applyFill="1" applyBorder="1" applyProtection="1"/>
    <xf numFmtId="174" fontId="17" fillId="0" borderId="48" xfId="0" applyNumberFormat="1" applyFont="1" applyFill="1" applyBorder="1" applyProtection="1"/>
    <xf numFmtId="174" fontId="17" fillId="0" borderId="51" xfId="0" applyNumberFormat="1" applyFont="1" applyFill="1" applyBorder="1" applyProtection="1"/>
    <xf numFmtId="174" fontId="14" fillId="0" borderId="43" xfId="0" applyNumberFormat="1" applyFont="1" applyBorder="1"/>
    <xf numFmtId="174" fontId="14" fillId="0" borderId="7" xfId="0" applyNumberFormat="1" applyFont="1" applyBorder="1"/>
    <xf numFmtId="174" fontId="14" fillId="0" borderId="12" xfId="0" applyNumberFormat="1" applyFont="1" applyBorder="1"/>
    <xf numFmtId="174" fontId="14" fillId="0" borderId="6" xfId="0" applyNumberFormat="1" applyFont="1" applyBorder="1"/>
    <xf numFmtId="174" fontId="14" fillId="0" borderId="45" xfId="0" applyNumberFormat="1" applyFont="1" applyBorder="1"/>
    <xf numFmtId="0" fontId="16" fillId="0" borderId="3" xfId="0" applyNumberFormat="1" applyFont="1" applyFill="1" applyBorder="1" applyAlignment="1">
      <alignment horizontal="left" indent="1"/>
    </xf>
    <xf numFmtId="175" fontId="14" fillId="0" borderId="100" xfId="1" applyNumberFormat="1" applyFont="1" applyBorder="1"/>
    <xf numFmtId="175" fontId="14" fillId="0" borderId="56" xfId="1" applyNumberFormat="1" applyFont="1" applyBorder="1"/>
    <xf numFmtId="175" fontId="14" fillId="0" borderId="101" xfId="1" applyNumberFormat="1" applyFont="1" applyBorder="1"/>
    <xf numFmtId="179" fontId="12" fillId="0" borderId="43" xfId="6" applyNumberFormat="1" applyFont="1" applyBorder="1" applyAlignment="1">
      <alignment horizontal="center"/>
    </xf>
    <xf numFmtId="179" fontId="12" fillId="0" borderId="75" xfId="6" applyNumberFormat="1" applyFont="1" applyBorder="1" applyAlignment="1">
      <alignment horizontal="center"/>
    </xf>
    <xf numFmtId="179" fontId="12" fillId="0" borderId="3" xfId="6" applyNumberFormat="1" applyFont="1" applyBorder="1" applyAlignment="1">
      <alignment horizontal="center"/>
    </xf>
    <xf numFmtId="179" fontId="12" fillId="0" borderId="42" xfId="6" applyNumberFormat="1" applyFont="1" applyBorder="1" applyAlignment="1">
      <alignment horizontal="center"/>
    </xf>
    <xf numFmtId="179" fontId="12" fillId="0" borderId="76" xfId="6" applyNumberFormat="1" applyFont="1" applyBorder="1" applyAlignment="1">
      <alignment horizontal="center"/>
    </xf>
    <xf numFmtId="179" fontId="12" fillId="0" borderId="0" xfId="6" applyNumberFormat="1" applyFont="1" applyBorder="1" applyAlignment="1">
      <alignment horizontal="center"/>
    </xf>
    <xf numFmtId="179" fontId="12" fillId="0" borderId="8" xfId="6" applyNumberFormat="1" applyFont="1" applyBorder="1" applyAlignment="1">
      <alignment horizontal="center"/>
    </xf>
    <xf numFmtId="0" fontId="12" fillId="0" borderId="4" xfId="0" applyNumberFormat="1" applyFont="1" applyBorder="1" applyAlignment="1">
      <alignment horizontal="left" indent="1"/>
    </xf>
    <xf numFmtId="0" fontId="12" fillId="0" borderId="4" xfId="0" applyFont="1" applyBorder="1" applyAlignment="1">
      <alignment horizontal="left" indent="1"/>
    </xf>
    <xf numFmtId="174" fontId="12" fillId="0" borderId="51" xfId="0" applyNumberFormat="1" applyFont="1" applyFill="1" applyBorder="1"/>
    <xf numFmtId="174" fontId="12" fillId="0" borderId="80" xfId="0" applyNumberFormat="1" applyFont="1" applyFill="1" applyBorder="1"/>
    <xf numFmtId="174" fontId="12" fillId="0" borderId="79" xfId="0" applyNumberFormat="1" applyFont="1" applyFill="1" applyBorder="1"/>
    <xf numFmtId="174" fontId="12" fillId="0" borderId="48" xfId="0" applyNumberFormat="1" applyFont="1" applyFill="1" applyBorder="1"/>
    <xf numFmtId="174" fontId="12" fillId="0" borderId="63" xfId="0" applyNumberFormat="1" applyFont="1" applyFill="1" applyBorder="1"/>
    <xf numFmtId="174" fontId="12" fillId="0" borderId="60" xfId="0" applyNumberFormat="1" applyFont="1" applyFill="1" applyBorder="1"/>
    <xf numFmtId="174" fontId="12" fillId="0" borderId="102" xfId="0" applyNumberFormat="1" applyFont="1" applyFill="1" applyBorder="1"/>
    <xf numFmtId="174" fontId="12" fillId="0" borderId="86" xfId="0" applyNumberFormat="1" applyFont="1" applyFill="1" applyBorder="1"/>
    <xf numFmtId="174" fontId="12" fillId="0" borderId="59" xfId="0" applyNumberFormat="1" applyFont="1" applyFill="1" applyBorder="1"/>
    <xf numFmtId="174" fontId="12" fillId="0" borderId="70" xfId="0" applyNumberFormat="1" applyFont="1" applyFill="1" applyBorder="1"/>
    <xf numFmtId="174" fontId="12" fillId="0" borderId="71" xfId="0" applyNumberFormat="1" applyFont="1" applyFill="1" applyBorder="1"/>
    <xf numFmtId="174" fontId="12" fillId="0" borderId="69" xfId="0" applyNumberFormat="1" applyFont="1" applyFill="1" applyBorder="1"/>
    <xf numFmtId="174" fontId="12" fillId="0" borderId="97" xfId="0" applyNumberFormat="1" applyFont="1" applyFill="1" applyBorder="1"/>
    <xf numFmtId="174" fontId="12" fillId="0" borderId="73" xfId="0" applyNumberFormat="1" applyFont="1" applyFill="1" applyBorder="1"/>
    <xf numFmtId="0" fontId="12" fillId="0" borderId="47" xfId="0" applyNumberFormat="1" applyFont="1" applyFill="1" applyBorder="1" applyAlignment="1" applyProtection="1">
      <alignment horizontal="left" indent="2"/>
    </xf>
    <xf numFmtId="174" fontId="12" fillId="0" borderId="8" xfId="0" applyNumberFormat="1" applyFont="1" applyFill="1" applyBorder="1" applyProtection="1">
      <protection locked="0"/>
    </xf>
    <xf numFmtId="174" fontId="12" fillId="0" borderId="3" xfId="0" applyNumberFormat="1" applyFont="1" applyFill="1" applyBorder="1" applyProtection="1">
      <protection locked="0"/>
    </xf>
    <xf numFmtId="174" fontId="12" fillId="0" borderId="0" xfId="0" applyNumberFormat="1" applyFont="1" applyFill="1" applyBorder="1" applyProtection="1">
      <protection locked="0"/>
    </xf>
    <xf numFmtId="0" fontId="14" fillId="0" borderId="103" xfId="0" applyFont="1" applyBorder="1" applyAlignment="1">
      <alignment horizontal="center"/>
    </xf>
    <xf numFmtId="0" fontId="12" fillId="0" borderId="70" xfId="0" applyNumberFormat="1" applyFont="1" applyBorder="1" applyAlignment="1" applyProtection="1">
      <alignment horizontal="left" indent="1"/>
    </xf>
    <xf numFmtId="0" fontId="16" fillId="0" borderId="47" xfId="0" applyNumberFormat="1" applyFont="1" applyBorder="1" applyProtection="1"/>
    <xf numFmtId="0" fontId="14" fillId="0" borderId="68" xfId="0" applyNumberFormat="1" applyFont="1" applyBorder="1" applyProtection="1"/>
    <xf numFmtId="174" fontId="14" fillId="0" borderId="60" xfId="0" applyNumberFormat="1" applyFont="1" applyFill="1" applyBorder="1" applyProtection="1"/>
    <xf numFmtId="174" fontId="14" fillId="0" borderId="61" xfId="0" applyNumberFormat="1" applyFont="1" applyFill="1" applyBorder="1" applyProtection="1"/>
    <xf numFmtId="174" fontId="14" fillId="0" borderId="62" xfId="0" applyNumberFormat="1" applyFont="1" applyFill="1" applyBorder="1" applyProtection="1"/>
    <xf numFmtId="174" fontId="14" fillId="0" borderId="59" xfId="0" applyNumberFormat="1" applyFont="1" applyFill="1" applyBorder="1" applyProtection="1"/>
    <xf numFmtId="174" fontId="14" fillId="0" borderId="63" xfId="0" applyNumberFormat="1" applyFont="1" applyFill="1" applyBorder="1" applyProtection="1"/>
    <xf numFmtId="174" fontId="12" fillId="0" borderId="63" xfId="0" applyNumberFormat="1" applyFont="1" applyFill="1" applyBorder="1" applyAlignment="1">
      <alignment vertical="top"/>
    </xf>
    <xf numFmtId="174" fontId="12" fillId="0" borderId="60" xfId="0" applyNumberFormat="1" applyFont="1" applyFill="1" applyBorder="1" applyAlignment="1">
      <alignment vertical="top"/>
    </xf>
    <xf numFmtId="174" fontId="12" fillId="0" borderId="102" xfId="0" applyNumberFormat="1" applyFont="1" applyFill="1" applyBorder="1" applyAlignment="1">
      <alignment vertical="top"/>
    </xf>
    <xf numFmtId="174" fontId="12" fillId="0" borderId="86" xfId="0" applyNumberFormat="1" applyFont="1" applyFill="1" applyBorder="1" applyAlignment="1">
      <alignment vertical="top"/>
    </xf>
    <xf numFmtId="174" fontId="12" fillId="0" borderId="59" xfId="0" applyNumberFormat="1" applyFont="1" applyFill="1" applyBorder="1" applyAlignment="1">
      <alignment vertical="top"/>
    </xf>
    <xf numFmtId="0" fontId="12" fillId="0" borderId="1" xfId="0" applyFont="1" applyFill="1" applyBorder="1" applyAlignment="1">
      <alignment horizontal="left" indent="2"/>
    </xf>
    <xf numFmtId="0" fontId="12" fillId="0" borderId="101" xfId="0" applyNumberFormat="1" applyFont="1" applyBorder="1" applyAlignment="1">
      <alignment horizontal="center" vertical="center"/>
    </xf>
    <xf numFmtId="174" fontId="14" fillId="0" borderId="46" xfId="0" applyNumberFormat="1" applyFont="1" applyFill="1" applyBorder="1" applyAlignment="1">
      <alignment horizontal="center"/>
    </xf>
    <xf numFmtId="174" fontId="14" fillId="0" borderId="49" xfId="0" applyNumberFormat="1" applyFont="1" applyFill="1" applyBorder="1" applyAlignment="1">
      <alignment horizontal="right"/>
    </xf>
    <xf numFmtId="174" fontId="14" fillId="0" borderId="50" xfId="0" applyNumberFormat="1" applyFont="1" applyFill="1" applyBorder="1" applyAlignment="1">
      <alignment horizontal="right"/>
    </xf>
    <xf numFmtId="174" fontId="14" fillId="0" borderId="46" xfId="0" applyNumberFormat="1" applyFont="1" applyFill="1" applyBorder="1" applyAlignment="1">
      <alignment horizontal="right"/>
    </xf>
    <xf numFmtId="174" fontId="14" fillId="0" borderId="48" xfId="0" applyNumberFormat="1" applyFont="1" applyFill="1" applyBorder="1" applyAlignment="1">
      <alignment horizontal="right"/>
    </xf>
    <xf numFmtId="0" fontId="12" fillId="0" borderId="67" xfId="0" applyFont="1" applyFill="1" applyBorder="1" applyAlignment="1">
      <alignment horizontal="left" vertical="top" wrapText="1"/>
    </xf>
    <xf numFmtId="168" fontId="12" fillId="0" borderId="6" xfId="0" applyNumberFormat="1" applyFont="1" applyBorder="1"/>
    <xf numFmtId="0" fontId="12" fillId="0" borderId="51" xfId="0" applyNumberFormat="1" applyFont="1" applyBorder="1" applyAlignment="1">
      <alignment horizontal="center"/>
    </xf>
    <xf numFmtId="0" fontId="12" fillId="0" borderId="80" xfId="0" applyNumberFormat="1" applyFont="1" applyBorder="1" applyAlignment="1">
      <alignment horizontal="center"/>
    </xf>
    <xf numFmtId="180" fontId="12" fillId="0" borderId="79" xfId="0" applyNumberFormat="1" applyFont="1" applyBorder="1" applyAlignment="1">
      <alignment horizontal="center"/>
    </xf>
    <xf numFmtId="0" fontId="14" fillId="0" borderId="64" xfId="0" applyFont="1" applyBorder="1" applyAlignment="1">
      <alignment vertical="center" wrapText="1"/>
    </xf>
    <xf numFmtId="174" fontId="12" fillId="0" borderId="51" xfId="0" applyNumberFormat="1" applyFont="1" applyFill="1" applyBorder="1" applyAlignment="1">
      <alignment vertical="top"/>
    </xf>
    <xf numFmtId="174" fontId="12" fillId="0" borderId="46" xfId="0" applyNumberFormat="1" applyFont="1" applyFill="1" applyBorder="1" applyAlignment="1">
      <alignment vertical="top"/>
    </xf>
    <xf numFmtId="174" fontId="12" fillId="0" borderId="80" xfId="0" applyNumberFormat="1" applyFont="1" applyFill="1" applyBorder="1" applyAlignment="1">
      <alignment vertical="top"/>
    </xf>
    <xf numFmtId="174" fontId="12" fillId="0" borderId="79" xfId="0" applyNumberFormat="1" applyFont="1" applyFill="1" applyBorder="1" applyAlignment="1">
      <alignment vertical="top"/>
    </xf>
    <xf numFmtId="174" fontId="12" fillId="0" borderId="48" xfId="0" applyNumberFormat="1" applyFont="1" applyFill="1" applyBorder="1" applyAlignment="1">
      <alignment vertical="top"/>
    </xf>
    <xf numFmtId="0" fontId="14" fillId="0" borderId="62" xfId="0" applyNumberFormat="1" applyFont="1" applyBorder="1" applyProtection="1"/>
    <xf numFmtId="0" fontId="12" fillId="0" borderId="60" xfId="0" applyNumberFormat="1" applyFont="1" applyBorder="1" applyAlignment="1" applyProtection="1">
      <alignment horizontal="center"/>
    </xf>
    <xf numFmtId="0" fontId="14" fillId="0" borderId="62" xfId="0" applyFont="1" applyBorder="1" applyAlignment="1" applyProtection="1">
      <alignment horizontal="left"/>
    </xf>
    <xf numFmtId="174" fontId="14" fillId="0" borderId="60" xfId="0" applyNumberFormat="1" applyFont="1" applyBorder="1" applyAlignment="1" applyProtection="1">
      <alignment horizontal="right"/>
    </xf>
    <xf numFmtId="174" fontId="14" fillId="0" borderId="61" xfId="0" applyNumberFormat="1" applyFont="1" applyBorder="1" applyAlignment="1" applyProtection="1">
      <alignment horizontal="right"/>
    </xf>
    <xf numFmtId="174" fontId="14" fillId="0" borderId="62" xfId="0" applyNumberFormat="1" applyFont="1" applyBorder="1" applyAlignment="1" applyProtection="1">
      <alignment horizontal="right"/>
    </xf>
    <xf numFmtId="174" fontId="14" fillId="0" borderId="59" xfId="0" applyNumberFormat="1" applyFont="1" applyBorder="1" applyAlignment="1" applyProtection="1">
      <alignment horizontal="right"/>
    </xf>
    <xf numFmtId="174" fontId="14" fillId="0" borderId="63" xfId="0" applyNumberFormat="1" applyFont="1" applyBorder="1" applyAlignment="1" applyProtection="1">
      <alignment horizontal="right"/>
    </xf>
    <xf numFmtId="174" fontId="14" fillId="0" borderId="60" xfId="0" applyNumberFormat="1" applyFont="1" applyBorder="1" applyProtection="1"/>
    <xf numFmtId="174" fontId="14" fillId="0" borderId="61" xfId="0" applyNumberFormat="1" applyFont="1" applyBorder="1" applyProtection="1"/>
    <xf numFmtId="174" fontId="14" fillId="0" borderId="62" xfId="0" applyNumberFormat="1" applyFont="1" applyBorder="1" applyProtection="1"/>
    <xf numFmtId="174" fontId="14" fillId="0" borderId="59" xfId="0" applyNumberFormat="1" applyFont="1" applyBorder="1" applyProtection="1"/>
    <xf numFmtId="174" fontId="14" fillId="0" borderId="63" xfId="0" applyNumberFormat="1" applyFont="1" applyBorder="1" applyProtection="1"/>
    <xf numFmtId="0" fontId="14" fillId="0" borderId="62" xfId="0" applyNumberFormat="1" applyFont="1" applyBorder="1" applyAlignment="1">
      <alignment horizontal="left" vertical="top" wrapText="1"/>
    </xf>
    <xf numFmtId="0" fontId="12" fillId="0" borderId="60" xfId="0" applyFont="1" applyBorder="1" applyAlignment="1">
      <alignment horizontal="center" vertical="top"/>
    </xf>
    <xf numFmtId="174" fontId="14" fillId="0" borderId="60" xfId="0" applyNumberFormat="1" applyFont="1" applyBorder="1" applyAlignment="1">
      <alignment vertical="top"/>
    </xf>
    <xf numFmtId="174" fontId="14" fillId="0" borderId="61" xfId="0" applyNumberFormat="1" applyFont="1" applyBorder="1" applyAlignment="1">
      <alignment vertical="top"/>
    </xf>
    <xf numFmtId="174" fontId="14" fillId="0" borderId="62" xfId="0" applyNumberFormat="1" applyFont="1" applyBorder="1" applyAlignment="1">
      <alignment vertical="top"/>
    </xf>
    <xf numFmtId="174" fontId="14" fillId="0" borderId="63" xfId="0" applyNumberFormat="1" applyFont="1" applyBorder="1" applyAlignment="1">
      <alignment vertical="top"/>
    </xf>
    <xf numFmtId="0" fontId="14" fillId="0" borderId="62" xfId="0" applyNumberFormat="1" applyFont="1" applyBorder="1" applyAlignment="1">
      <alignment vertical="top"/>
    </xf>
    <xf numFmtId="174" fontId="14" fillId="0" borderId="104" xfId="0" applyNumberFormat="1" applyFont="1" applyBorder="1"/>
    <xf numFmtId="0" fontId="12" fillId="0" borderId="86" xfId="0" applyFont="1" applyBorder="1" applyAlignment="1">
      <alignment horizontal="center"/>
    </xf>
    <xf numFmtId="0" fontId="24" fillId="0" borderId="0" xfId="5"/>
    <xf numFmtId="0" fontId="2" fillId="0" borderId="0" xfId="0" applyFont="1" applyProtection="1">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Border="1" applyProtection="1">
      <protection locked="0"/>
    </xf>
    <xf numFmtId="0" fontId="2" fillId="0" borderId="8" xfId="0" applyFont="1" applyBorder="1" applyProtection="1">
      <protection locked="0"/>
    </xf>
    <xf numFmtId="0" fontId="2" fillId="0" borderId="8" xfId="0" applyFont="1" applyBorder="1" applyAlignment="1" applyProtection="1">
      <alignment horizontal="center"/>
      <protection locked="0"/>
    </xf>
    <xf numFmtId="0" fontId="2" fillId="0" borderId="3" xfId="0" applyFont="1" applyBorder="1" applyProtection="1">
      <protection locked="0"/>
    </xf>
    <xf numFmtId="0" fontId="2" fillId="0" borderId="0" xfId="0" quotePrefix="1" applyFont="1" applyBorder="1" applyProtection="1">
      <protection locked="0"/>
    </xf>
    <xf numFmtId="0" fontId="2" fillId="0" borderId="5" xfId="0" applyFont="1" applyBorder="1" applyAlignment="1" applyProtection="1">
      <alignment horizontal="center"/>
      <protection locked="0"/>
    </xf>
    <xf numFmtId="0" fontId="2" fillId="0" borderId="4" xfId="0" applyFont="1" applyBorder="1" applyProtection="1">
      <protection locked="0"/>
    </xf>
    <xf numFmtId="0" fontId="2" fillId="0" borderId="9" xfId="0" applyFont="1" applyBorder="1" applyProtection="1">
      <protection locked="0"/>
    </xf>
    <xf numFmtId="0" fontId="2" fillId="0" borderId="10"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5" fillId="0" borderId="0" xfId="0" applyFont="1" applyFill="1" applyBorder="1" applyAlignment="1" applyProtection="1">
      <alignment horizontal="center"/>
      <protection locked="0"/>
    </xf>
    <xf numFmtId="0" fontId="2" fillId="0" borderId="7" xfId="0" applyFont="1" applyBorder="1" applyProtection="1">
      <protection locked="0"/>
    </xf>
    <xf numFmtId="0" fontId="2" fillId="0" borderId="3" xfId="0" applyFont="1" applyBorder="1" applyAlignment="1" applyProtection="1">
      <alignment horizontal="center"/>
      <protection locked="0"/>
    </xf>
    <xf numFmtId="0" fontId="2" fillId="0" borderId="10" xfId="0" applyFont="1" applyBorder="1" applyProtection="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17" fillId="0" borderId="0" xfId="0" applyFont="1" applyFill="1" applyBorder="1" applyAlignment="1" applyProtection="1">
      <alignment horizontal="left"/>
    </xf>
    <xf numFmtId="174" fontId="14" fillId="0" borderId="67" xfId="0" applyNumberFormat="1" applyFont="1" applyFill="1" applyBorder="1" applyProtection="1"/>
    <xf numFmtId="174" fontId="14" fillId="0" borderId="76" xfId="0" applyNumberFormat="1" applyFont="1" applyFill="1" applyBorder="1" applyProtection="1"/>
    <xf numFmtId="174" fontId="14" fillId="0" borderId="99" xfId="0" applyNumberFormat="1" applyFont="1" applyFill="1" applyBorder="1" applyProtection="1"/>
    <xf numFmtId="174" fontId="17" fillId="0" borderId="0" xfId="0" applyNumberFormat="1" applyFont="1" applyBorder="1" applyAlignment="1" applyProtection="1">
      <alignment horizontal="right"/>
    </xf>
    <xf numFmtId="174" fontId="17" fillId="0" borderId="0" xfId="1" applyNumberFormat="1" applyFont="1" applyBorder="1" applyAlignment="1" applyProtection="1">
      <alignment horizontal="right"/>
    </xf>
    <xf numFmtId="0" fontId="17" fillId="0" borderId="0" xfId="0" applyFont="1" applyProtection="1"/>
    <xf numFmtId="0" fontId="17" fillId="0" borderId="0" xfId="0" quotePrefix="1" applyNumberFormat="1" applyFont="1" applyBorder="1" applyProtection="1"/>
    <xf numFmtId="0" fontId="17" fillId="0" borderId="0" xfId="4" applyFont="1" applyAlignment="1" applyProtection="1"/>
    <xf numFmtId="0" fontId="17" fillId="0" borderId="0" xfId="0" applyNumberFormat="1" applyFont="1" applyProtection="1"/>
    <xf numFmtId="0" fontId="18" fillId="0" borderId="0" xfId="0" applyNumberFormat="1" applyFont="1" applyProtection="1"/>
    <xf numFmtId="0" fontId="18" fillId="0" borderId="0" xfId="0" applyNumberFormat="1" applyFont="1" applyBorder="1" applyAlignment="1" applyProtection="1">
      <alignment vertical="center" wrapText="1"/>
    </xf>
    <xf numFmtId="0" fontId="18" fillId="0" borderId="0" xfId="0" applyFont="1" applyFill="1" applyBorder="1" applyAlignment="1" applyProtection="1">
      <alignment vertical="center" wrapText="1"/>
    </xf>
    <xf numFmtId="0" fontId="18" fillId="0" borderId="0" xfId="0" applyNumberFormat="1" applyFont="1" applyFill="1" applyBorder="1" applyAlignment="1" applyProtection="1">
      <alignment vertical="center" wrapText="1"/>
    </xf>
    <xf numFmtId="174" fontId="12" fillId="0" borderId="80" xfId="0" applyNumberFormat="1" applyFont="1" applyFill="1" applyBorder="1" applyProtection="1"/>
    <xf numFmtId="174" fontId="12" fillId="0" borderId="104" xfId="0" applyNumberFormat="1" applyFont="1" applyFill="1" applyBorder="1" applyProtection="1"/>
    <xf numFmtId="174" fontId="12" fillId="0" borderId="67" xfId="0" applyNumberFormat="1" applyFont="1" applyFill="1" applyBorder="1" applyProtection="1"/>
    <xf numFmtId="174" fontId="12" fillId="0" borderId="99" xfId="0" applyNumberFormat="1" applyFont="1" applyFill="1" applyBorder="1" applyProtection="1"/>
    <xf numFmtId="0" fontId="17" fillId="0" borderId="0" xfId="0" applyNumberFormat="1" applyFont="1" applyBorder="1" applyAlignment="1" applyProtection="1">
      <alignment horizontal="left" vertical="top"/>
    </xf>
    <xf numFmtId="0" fontId="17" fillId="0" borderId="42" xfId="0" applyNumberFormat="1" applyFont="1" applyFill="1" applyBorder="1" applyAlignment="1" applyProtection="1">
      <alignment horizontal="center"/>
    </xf>
    <xf numFmtId="0" fontId="17" fillId="0" borderId="0" xfId="0" applyNumberFormat="1" applyFont="1" applyFill="1" applyBorder="1" applyAlignment="1" applyProtection="1">
      <alignment horizontal="center"/>
    </xf>
    <xf numFmtId="0" fontId="14" fillId="0" borderId="64" xfId="0" applyFont="1" applyFill="1" applyBorder="1" applyAlignment="1">
      <alignment horizontal="left" vertical="center"/>
    </xf>
    <xf numFmtId="0" fontId="12" fillId="0" borderId="47" xfId="0" applyNumberFormat="1" applyFont="1" applyFill="1" applyBorder="1" applyAlignment="1">
      <alignment horizontal="left" indent="2"/>
    </xf>
    <xf numFmtId="0" fontId="12" fillId="0" borderId="47" xfId="0" applyNumberFormat="1" applyFont="1" applyBorder="1" applyAlignment="1">
      <alignment horizontal="left" indent="2"/>
    </xf>
    <xf numFmtId="0" fontId="12" fillId="0" borderId="47" xfId="0" applyFont="1" applyBorder="1"/>
    <xf numFmtId="0" fontId="14" fillId="0" borderId="4" xfId="0" applyNumberFormat="1" applyFont="1" applyBorder="1" applyAlignment="1" applyProtection="1">
      <alignment wrapText="1"/>
    </xf>
    <xf numFmtId="0" fontId="12" fillId="0" borderId="12" xfId="0" applyNumberFormat="1" applyFont="1" applyBorder="1" applyAlignment="1">
      <alignment horizontal="center"/>
    </xf>
    <xf numFmtId="0" fontId="27" fillId="0" borderId="9" xfId="0" applyFont="1" applyFill="1" applyBorder="1" applyAlignment="1" applyProtection="1">
      <alignment horizontal="left"/>
    </xf>
    <xf numFmtId="0" fontId="1" fillId="0" borderId="0" xfId="0" applyFont="1" applyProtection="1">
      <protection hidden="1"/>
    </xf>
    <xf numFmtId="0" fontId="1" fillId="0" borderId="0" xfId="0" applyFont="1" applyProtection="1"/>
    <xf numFmtId="0" fontId="1" fillId="0" borderId="0" xfId="0" applyFont="1"/>
    <xf numFmtId="0" fontId="1" fillId="0" borderId="0" xfId="0" applyFont="1" applyBorder="1" applyProtection="1">
      <protection hidden="1"/>
    </xf>
    <xf numFmtId="0" fontId="3" fillId="0" borderId="0" xfId="0" applyFont="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quotePrefix="1" applyNumberFormat="1" applyFont="1" applyProtection="1"/>
    <xf numFmtId="0" fontId="28" fillId="0" borderId="0" xfId="0" applyFont="1" applyProtection="1"/>
    <xf numFmtId="0" fontId="28" fillId="0" borderId="0" xfId="0" applyNumberFormat="1" applyFont="1" applyProtection="1"/>
    <xf numFmtId="0" fontId="1" fillId="0" borderId="0" xfId="0" applyFont="1" applyAlignment="1" applyProtection="1">
      <alignment vertical="center"/>
      <protection hidden="1"/>
    </xf>
    <xf numFmtId="0" fontId="28" fillId="0" borderId="0" xfId="0" applyFont="1" applyAlignment="1" applyProtection="1">
      <alignment vertical="center"/>
    </xf>
    <xf numFmtId="0" fontId="1" fillId="0" borderId="0" xfId="0" applyFont="1" applyAlignment="1">
      <alignment vertical="center"/>
    </xf>
    <xf numFmtId="0" fontId="3" fillId="0" borderId="0" xfId="0" applyFont="1" applyAlignment="1" applyProtection="1">
      <alignment vertical="center"/>
    </xf>
    <xf numFmtId="0" fontId="3" fillId="0" borderId="0" xfId="0" applyFont="1" applyProtection="1"/>
    <xf numFmtId="0" fontId="0" fillId="0" borderId="0" xfId="0" applyProtection="1"/>
    <xf numFmtId="0" fontId="3" fillId="0" borderId="0" xfId="0" applyFont="1" applyBorder="1" applyProtection="1"/>
    <xf numFmtId="0" fontId="3"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11" fillId="0" borderId="0" xfId="0" applyFont="1" applyProtection="1"/>
    <xf numFmtId="0" fontId="11" fillId="0" borderId="0" xfId="0" applyFont="1" applyProtection="1">
      <protection hidden="1"/>
    </xf>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0" fontId="28" fillId="0" borderId="0" xfId="0" applyFont="1" applyFill="1" applyProtection="1"/>
    <xf numFmtId="0" fontId="12" fillId="0" borderId="0" xfId="0" applyFont="1" applyFill="1" applyProtection="1"/>
    <xf numFmtId="174" fontId="12" fillId="0" borderId="42" xfId="1" applyNumberFormat="1" applyFont="1" applyFill="1" applyBorder="1" applyProtection="1"/>
    <xf numFmtId="174" fontId="12" fillId="0" borderId="8" xfId="1" applyNumberFormat="1" applyFont="1" applyFill="1" applyBorder="1" applyProtection="1"/>
    <xf numFmtId="174" fontId="12" fillId="0" borderId="3" xfId="1" applyNumberFormat="1" applyFont="1" applyFill="1" applyBorder="1" applyProtection="1"/>
    <xf numFmtId="174" fontId="12" fillId="0" borderId="0" xfId="1" applyNumberFormat="1" applyFont="1" applyFill="1" applyBorder="1" applyProtection="1"/>
    <xf numFmtId="174" fontId="12" fillId="0" borderId="47" xfId="1" applyNumberFormat="1" applyFont="1" applyFill="1" applyBorder="1" applyProtection="1"/>
    <xf numFmtId="174" fontId="14" fillId="0" borderId="47" xfId="0" applyNumberFormat="1" applyFont="1" applyFill="1" applyBorder="1"/>
    <xf numFmtId="0" fontId="17" fillId="0" borderId="3" xfId="0" applyNumberFormat="1" applyFont="1" applyFill="1" applyBorder="1" applyAlignment="1">
      <alignment horizontal="left" indent="2"/>
    </xf>
    <xf numFmtId="174" fontId="12" fillId="0" borderId="42" xfId="0" applyNumberFormat="1" applyFont="1" applyFill="1" applyBorder="1" applyAlignment="1" applyProtection="1">
      <alignment horizontal="right"/>
    </xf>
    <xf numFmtId="174" fontId="12" fillId="0" borderId="0" xfId="0" applyNumberFormat="1" applyFont="1" applyFill="1" applyBorder="1" applyAlignment="1" applyProtection="1">
      <alignment horizontal="right"/>
    </xf>
    <xf numFmtId="174" fontId="12" fillId="0" borderId="46" xfId="0" applyNumberFormat="1" applyFont="1" applyFill="1" applyBorder="1" applyAlignment="1">
      <alignment horizontal="right"/>
    </xf>
    <xf numFmtId="174" fontId="12" fillId="0" borderId="48" xfId="0" applyNumberFormat="1" applyFont="1" applyFill="1" applyBorder="1" applyAlignment="1">
      <alignment horizontal="right"/>
    </xf>
    <xf numFmtId="174" fontId="12" fillId="0" borderId="50" xfId="0" applyNumberFormat="1" applyFont="1" applyFill="1" applyBorder="1" applyAlignment="1">
      <alignment horizontal="right"/>
    </xf>
    <xf numFmtId="174" fontId="12" fillId="0" borderId="49" xfId="0" applyNumberFormat="1" applyFont="1" applyFill="1" applyBorder="1" applyAlignment="1">
      <alignment horizontal="right"/>
    </xf>
    <xf numFmtId="0" fontId="2" fillId="0" borderId="1" xfId="0" applyFont="1" applyBorder="1" applyAlignment="1" applyProtection="1">
      <alignment horizontal="center"/>
    </xf>
    <xf numFmtId="0" fontId="2" fillId="0" borderId="0" xfId="0" applyFont="1" applyBorder="1" applyProtection="1"/>
    <xf numFmtId="0" fontId="2" fillId="0" borderId="8" xfId="0" applyFont="1" applyBorder="1" applyAlignment="1" applyProtection="1">
      <alignment horizontal="center"/>
    </xf>
    <xf numFmtId="0" fontId="2" fillId="0" borderId="3" xfId="0" applyFont="1" applyBorder="1" applyProtection="1"/>
    <xf numFmtId="0" fontId="2" fillId="0" borderId="3" xfId="0" quotePrefix="1" applyFont="1" applyBorder="1" applyProtection="1"/>
    <xf numFmtId="0" fontId="2" fillId="0" borderId="12" xfId="0" applyFont="1" applyBorder="1" applyAlignment="1" applyProtection="1">
      <alignment horizontal="center"/>
    </xf>
    <xf numFmtId="0" fontId="2" fillId="0" borderId="7" xfId="0" applyFont="1" applyBorder="1" applyProtection="1"/>
    <xf numFmtId="0" fontId="2" fillId="0" borderId="8" xfId="0" applyFont="1" applyBorder="1" applyProtection="1"/>
    <xf numFmtId="0" fontId="2" fillId="0" borderId="10" xfId="0" applyFont="1" applyBorder="1" applyProtection="1"/>
    <xf numFmtId="0" fontId="2" fillId="0" borderId="0" xfId="0" applyFont="1" applyAlignment="1" applyProtection="1">
      <alignment horizontal="center"/>
    </xf>
    <xf numFmtId="0" fontId="5" fillId="6" borderId="2" xfId="0" applyFont="1" applyFill="1" applyBorder="1" applyAlignment="1" applyProtection="1">
      <alignment horizontal="center"/>
    </xf>
    <xf numFmtId="0" fontId="5" fillId="11" borderId="34" xfId="0" applyFont="1" applyFill="1" applyBorder="1" applyAlignment="1" applyProtection="1">
      <alignment horizontal="center"/>
    </xf>
    <xf numFmtId="0" fontId="5" fillId="11" borderId="2" xfId="0" applyFont="1" applyFill="1" applyBorder="1" applyAlignment="1" applyProtection="1">
      <alignment horizontal="center"/>
    </xf>
    <xf numFmtId="0" fontId="2" fillId="0" borderId="0" xfId="0" applyFont="1" applyFill="1" applyBorder="1" applyProtection="1"/>
    <xf numFmtId="0" fontId="4" fillId="0" borderId="0" xfId="0" applyFont="1" applyBorder="1" applyProtection="1"/>
    <xf numFmtId="0" fontId="2" fillId="0" borderId="9" xfId="0" applyFont="1" applyBorder="1" applyProtection="1"/>
    <xf numFmtId="0" fontId="2" fillId="0" borderId="5" xfId="0" applyFont="1" applyBorder="1" applyAlignment="1" applyProtection="1">
      <alignment horizontal="center"/>
    </xf>
    <xf numFmtId="0" fontId="5" fillId="6" borderId="34" xfId="0" applyFont="1" applyFill="1" applyBorder="1" applyAlignment="1" applyProtection="1">
      <alignment horizontal="center"/>
    </xf>
    <xf numFmtId="0" fontId="2" fillId="0" borderId="11" xfId="0" applyFont="1" applyBorder="1" applyAlignment="1" applyProtection="1">
      <alignment horizontal="center"/>
    </xf>
    <xf numFmtId="0" fontId="2" fillId="0" borderId="6" xfId="0" applyFont="1" applyBorder="1" applyProtection="1"/>
    <xf numFmtId="0" fontId="13" fillId="12" borderId="17" xfId="0" applyFont="1" applyFill="1" applyBorder="1" applyAlignment="1" applyProtection="1"/>
    <xf numFmtId="0" fontId="13" fillId="12" borderId="17" xfId="0" applyFont="1" applyFill="1" applyBorder="1" applyAlignment="1" applyProtection="1">
      <alignment horizontal="center"/>
    </xf>
    <xf numFmtId="0" fontId="13" fillId="12" borderId="2" xfId="0" applyFont="1" applyFill="1" applyBorder="1" applyAlignment="1" applyProtection="1">
      <alignment horizontal="center"/>
    </xf>
    <xf numFmtId="0" fontId="2" fillId="0" borderId="3" xfId="0" applyFont="1" applyBorder="1" applyAlignment="1" applyProtection="1">
      <alignment horizontal="center"/>
    </xf>
    <xf numFmtId="0" fontId="2" fillId="0" borderId="12" xfId="0" applyFont="1" applyBorder="1" applyAlignment="1" applyProtection="1">
      <alignment horizontal="left"/>
    </xf>
    <xf numFmtId="0" fontId="2" fillId="0" borderId="3" xfId="0" applyFont="1" applyBorder="1" applyAlignment="1" applyProtection="1">
      <alignment horizontal="left"/>
    </xf>
    <xf numFmtId="0" fontId="2" fillId="0" borderId="4" xfId="0" applyFont="1" applyBorder="1" applyAlignment="1" applyProtection="1">
      <alignment horizontal="left"/>
    </xf>
    <xf numFmtId="0" fontId="2" fillId="0" borderId="10" xfId="0" applyFont="1" applyBorder="1" applyAlignment="1" applyProtection="1">
      <alignment horizontal="center"/>
    </xf>
    <xf numFmtId="174" fontId="14" fillId="0" borderId="102" xfId="0" applyNumberFormat="1" applyFont="1" applyFill="1" applyBorder="1" applyProtection="1"/>
    <xf numFmtId="174" fontId="14" fillId="0" borderId="86" xfId="0" applyNumberFormat="1" applyFont="1" applyFill="1" applyBorder="1" applyProtection="1"/>
    <xf numFmtId="174" fontId="14" fillId="0" borderId="105" xfId="0" applyNumberFormat="1" applyFont="1" applyFill="1" applyBorder="1" applyProtection="1"/>
    <xf numFmtId="174" fontId="14" fillId="0" borderId="80" xfId="0" applyNumberFormat="1" applyFont="1" applyFill="1" applyBorder="1" applyProtection="1"/>
    <xf numFmtId="174" fontId="14" fillId="0" borderId="79" xfId="0" applyNumberFormat="1" applyFont="1" applyFill="1" applyBorder="1" applyProtection="1"/>
    <xf numFmtId="174" fontId="14" fillId="0" borderId="104" xfId="0" applyNumberFormat="1" applyFont="1" applyFill="1" applyBorder="1" applyProtection="1"/>
    <xf numFmtId="174" fontId="12" fillId="0" borderId="42" xfId="0" applyNumberFormat="1" applyFont="1" applyFill="1" applyBorder="1" applyAlignment="1" applyProtection="1">
      <alignment horizontal="center"/>
    </xf>
    <xf numFmtId="174" fontId="12" fillId="0" borderId="8" xfId="0" applyNumberFormat="1" applyFont="1" applyFill="1" applyBorder="1" applyAlignment="1" applyProtection="1">
      <alignment horizontal="right"/>
    </xf>
    <xf numFmtId="174" fontId="12" fillId="0" borderId="3" xfId="0" applyNumberFormat="1" applyFont="1" applyFill="1" applyBorder="1" applyAlignment="1" applyProtection="1">
      <alignment horizontal="right"/>
    </xf>
    <xf numFmtId="0" fontId="17" fillId="0" borderId="0" xfId="0" applyNumberFormat="1" applyFont="1" applyFill="1" applyBorder="1" applyProtection="1"/>
    <xf numFmtId="174" fontId="14" fillId="0" borderId="80" xfId="0" applyNumberFormat="1" applyFont="1" applyFill="1" applyBorder="1"/>
    <xf numFmtId="174" fontId="14" fillId="0" borderId="79" xfId="0" applyNumberFormat="1" applyFont="1" applyFill="1" applyBorder="1"/>
    <xf numFmtId="174" fontId="14"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1" fillId="0" borderId="0" xfId="0" applyFont="1" applyFill="1" applyProtection="1"/>
    <xf numFmtId="0" fontId="26" fillId="0" borderId="0" xfId="0" applyFont="1" applyFill="1" applyProtection="1"/>
    <xf numFmtId="0" fontId="14" fillId="13" borderId="5" xfId="0" applyFont="1" applyFill="1" applyBorder="1" applyAlignment="1" applyProtection="1">
      <alignment horizontal="left" vertical="top" wrapText="1"/>
      <protection locked="0"/>
    </xf>
    <xf numFmtId="0" fontId="29" fillId="0" borderId="0" xfId="0" applyFont="1" applyAlignment="1">
      <alignment wrapText="1"/>
    </xf>
    <xf numFmtId="0" fontId="14" fillId="13" borderId="2" xfId="0" applyFont="1" applyFill="1" applyBorder="1" applyAlignment="1" applyProtection="1">
      <alignment horizontal="left" vertical="top" wrapText="1"/>
      <protection locked="0"/>
    </xf>
    <xf numFmtId="0" fontId="14" fillId="14" borderId="2" xfId="0" applyFont="1" applyFill="1" applyBorder="1" applyAlignment="1" applyProtection="1">
      <alignment horizontal="left" vertical="top" wrapText="1" indent="1"/>
      <protection locked="0"/>
    </xf>
    <xf numFmtId="0" fontId="14" fillId="15" borderId="2" xfId="0" applyFont="1" applyFill="1" applyBorder="1" applyAlignment="1" applyProtection="1">
      <alignment horizontal="left" vertical="top" wrapText="1" indent="2"/>
      <protection locked="0"/>
    </xf>
    <xf numFmtId="0" fontId="12" fillId="0" borderId="1" xfId="0" applyFont="1" applyFill="1" applyBorder="1" applyAlignment="1">
      <alignment horizontal="left" indent="1"/>
    </xf>
    <xf numFmtId="0" fontId="12" fillId="0" borderId="1" xfId="0" applyNumberFormat="1" applyFont="1" applyBorder="1" applyAlignment="1">
      <alignment horizontal="left" vertical="top" indent="1"/>
    </xf>
    <xf numFmtId="0" fontId="16" fillId="0" borderId="1" xfId="0" applyFont="1" applyFill="1" applyBorder="1" applyAlignment="1">
      <alignment horizontal="left" indent="1"/>
    </xf>
    <xf numFmtId="0" fontId="23" fillId="0" borderId="0" xfId="0" applyFont="1"/>
    <xf numFmtId="0" fontId="23" fillId="0" borderId="36" xfId="0" applyFont="1" applyBorder="1" applyAlignment="1"/>
    <xf numFmtId="0" fontId="14" fillId="0" borderId="88" xfId="0" applyNumberFormat="1" applyFont="1" applyBorder="1" applyAlignment="1">
      <alignment horizontal="left"/>
    </xf>
    <xf numFmtId="0" fontId="14" fillId="0" borderId="42" xfId="0" applyNumberFormat="1" applyFont="1" applyBorder="1" applyAlignment="1">
      <alignment horizontal="center"/>
    </xf>
    <xf numFmtId="0" fontId="19" fillId="0" borderId="3" xfId="0" applyFont="1" applyFill="1" applyBorder="1" applyAlignment="1">
      <alignment horizontal="left" indent="1"/>
    </xf>
    <xf numFmtId="0" fontId="17" fillId="0" borderId="3" xfId="0" applyFont="1" applyFill="1" applyBorder="1" applyAlignment="1">
      <alignment horizontal="left" indent="2"/>
    </xf>
    <xf numFmtId="0" fontId="15" fillId="0" borderId="3" xfId="0" applyFont="1" applyBorder="1" applyAlignment="1">
      <alignment horizontal="right" indent="1"/>
    </xf>
    <xf numFmtId="0" fontId="17" fillId="0" borderId="3" xfId="0" applyNumberFormat="1" applyFont="1" applyBorder="1" applyAlignment="1" applyProtection="1">
      <alignment horizontal="right" indent="1"/>
    </xf>
    <xf numFmtId="0" fontId="14" fillId="0" borderId="47" xfId="0" applyNumberFormat="1" applyFont="1" applyBorder="1"/>
    <xf numFmtId="0" fontId="16" fillId="0" borderId="47" xfId="0" applyNumberFormat="1" applyFont="1" applyBorder="1" applyAlignment="1">
      <alignment horizontal="left" indent="1"/>
    </xf>
    <xf numFmtId="0" fontId="17" fillId="0" borderId="47" xfId="0" applyNumberFormat="1" applyFont="1" applyFill="1" applyBorder="1" applyAlignment="1">
      <alignment horizontal="left" indent="2"/>
    </xf>
    <xf numFmtId="0" fontId="12" fillId="0" borderId="47" xfId="0" applyFont="1" applyBorder="1" applyAlignment="1">
      <alignment horizontal="left" indent="2"/>
    </xf>
    <xf numFmtId="0" fontId="14" fillId="0" borderId="56" xfId="0" applyFont="1" applyBorder="1"/>
    <xf numFmtId="0" fontId="14" fillId="0" borderId="12" xfId="0" applyFont="1" applyBorder="1"/>
    <xf numFmtId="0" fontId="14" fillId="0" borderId="17" xfId="0" applyFont="1" applyBorder="1"/>
    <xf numFmtId="0" fontId="14" fillId="0" borderId="3" xfId="0" applyFont="1" applyFill="1" applyBorder="1" applyAlignment="1">
      <alignment horizontal="left" indent="1"/>
    </xf>
    <xf numFmtId="0" fontId="14" fillId="2" borderId="7"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1" fillId="0" borderId="47" xfId="0" applyFont="1" applyFill="1" applyBorder="1" applyAlignment="1">
      <alignment horizontal="left" vertical="top" wrapText="1" indent="3"/>
    </xf>
    <xf numFmtId="0" fontId="12" fillId="0" borderId="0" xfId="0" applyFont="1" applyFill="1" applyAlignment="1">
      <alignment horizontal="right"/>
    </xf>
    <xf numFmtId="166" fontId="12" fillId="0" borderId="0" xfId="0" applyNumberFormat="1" applyFont="1" applyFill="1"/>
    <xf numFmtId="0" fontId="12" fillId="0" borderId="0" xfId="0" applyFont="1" applyFill="1" applyBorder="1" applyAlignment="1" applyProtection="1">
      <protection locked="0"/>
    </xf>
    <xf numFmtId="0" fontId="23" fillId="0" borderId="0" xfId="0" applyFont="1" applyFill="1"/>
    <xf numFmtId="0" fontId="12" fillId="0" borderId="0" xfId="0" applyFont="1" applyFill="1" applyAlignment="1">
      <alignment vertical="top"/>
    </xf>
    <xf numFmtId="0" fontId="12" fillId="0" borderId="0" xfId="0" applyFont="1" applyFill="1" applyAlignment="1"/>
    <xf numFmtId="0" fontId="12" fillId="0" borderId="0" xfId="0" applyFont="1" applyFill="1" applyAlignment="1">
      <alignment wrapText="1"/>
    </xf>
    <xf numFmtId="174" fontId="12" fillId="0" borderId="0" xfId="0" applyNumberFormat="1" applyFont="1" applyFill="1" applyProtection="1">
      <protection locked="0"/>
    </xf>
    <xf numFmtId="0" fontId="14" fillId="0" borderId="0" xfId="0" applyNumberFormat="1" applyFont="1" applyBorder="1"/>
    <xf numFmtId="0" fontId="16" fillId="0" borderId="12" xfId="0" applyFont="1" applyBorder="1"/>
    <xf numFmtId="0" fontId="12" fillId="0" borderId="11" xfId="0" applyFont="1" applyBorder="1" applyAlignment="1">
      <alignment horizontal="center"/>
    </xf>
    <xf numFmtId="174" fontId="14" fillId="0" borderId="75" xfId="0" applyNumberFormat="1" applyFont="1" applyBorder="1"/>
    <xf numFmtId="0" fontId="12" fillId="0" borderId="1" xfId="0" applyFont="1" applyBorder="1" applyAlignment="1">
      <alignment horizontal="center"/>
    </xf>
    <xf numFmtId="0" fontId="12" fillId="0" borderId="5" xfId="0" applyFont="1" applyBorder="1" applyAlignment="1">
      <alignment horizontal="center"/>
    </xf>
    <xf numFmtId="174" fontId="14" fillId="0" borderId="104" xfId="0" applyNumberFormat="1" applyFont="1" applyBorder="1" applyAlignment="1">
      <alignment horizontal="right"/>
    </xf>
    <xf numFmtId="174" fontId="14" fillId="0" borderId="79" xfId="0" applyNumberFormat="1" applyFont="1" applyBorder="1" applyAlignment="1">
      <alignment horizontal="right"/>
    </xf>
    <xf numFmtId="174" fontId="14" fillId="0" borderId="44" xfId="0" applyNumberFormat="1" applyFont="1" applyBorder="1" applyAlignment="1">
      <alignment horizontal="right"/>
    </xf>
    <xf numFmtId="174" fontId="14" fillId="0" borderId="84" xfId="0" applyNumberFormat="1" applyFont="1" applyBorder="1" applyAlignment="1">
      <alignment horizontal="right"/>
    </xf>
    <xf numFmtId="174" fontId="14" fillId="0" borderId="88" xfId="0" applyNumberFormat="1" applyFont="1" applyBorder="1" applyAlignment="1">
      <alignment horizontal="right"/>
    </xf>
    <xf numFmtId="0" fontId="14" fillId="0" borderId="62" xfId="0" applyNumberFormat="1" applyFont="1" applyFill="1" applyBorder="1" applyAlignment="1">
      <alignment wrapText="1"/>
    </xf>
    <xf numFmtId="170" fontId="12" fillId="0" borderId="99" xfId="6" applyNumberFormat="1" applyFont="1" applyFill="1" applyBorder="1" applyAlignment="1">
      <alignment horizontal="center"/>
    </xf>
    <xf numFmtId="0" fontId="12" fillId="0" borderId="8" xfId="0" applyFont="1" applyBorder="1"/>
    <xf numFmtId="0" fontId="16" fillId="0" borderId="0" xfId="0" applyFont="1" applyBorder="1"/>
    <xf numFmtId="0" fontId="12" fillId="0" borderId="0" xfId="0" applyFont="1" applyFill="1" applyBorder="1" applyAlignment="1"/>
    <xf numFmtId="0" fontId="12" fillId="0" borderId="1" xfId="0" applyFont="1" applyBorder="1"/>
    <xf numFmtId="167" fontId="12" fillId="0" borderId="1" xfId="7" applyNumberFormat="1" applyFont="1" applyBorder="1" applyAlignment="1"/>
    <xf numFmtId="167" fontId="12" fillId="0" borderId="1" xfId="7" applyNumberFormat="1" applyFont="1" applyBorder="1"/>
    <xf numFmtId="10" fontId="12" fillId="0" borderId="1" xfId="7" applyNumberFormat="1" applyFont="1" applyFill="1" applyBorder="1" applyProtection="1"/>
    <xf numFmtId="0" fontId="12" fillId="0" borderId="0" xfId="0" applyFont="1" applyBorder="1" applyAlignment="1">
      <alignment wrapText="1"/>
    </xf>
    <xf numFmtId="174" fontId="12" fillId="0" borderId="1" xfId="0" applyNumberFormat="1" applyFont="1" applyBorder="1" applyAlignment="1">
      <alignment horizontal="left" wrapText="1"/>
    </xf>
    <xf numFmtId="174" fontId="12" fillId="0" borderId="11" xfId="0" applyNumberFormat="1" applyFont="1" applyBorder="1" applyAlignment="1">
      <alignment horizontal="left" wrapText="1"/>
    </xf>
    <xf numFmtId="0" fontId="12" fillId="0" borderId="7" xfId="0" applyFont="1" applyBorder="1" applyAlignment="1">
      <alignment horizontal="center"/>
    </xf>
    <xf numFmtId="0" fontId="16" fillId="0" borderId="7" xfId="0" applyFont="1" applyBorder="1"/>
    <xf numFmtId="0" fontId="12" fillId="0" borderId="11" xfId="0" applyFont="1" applyBorder="1"/>
    <xf numFmtId="0" fontId="12" fillId="0" borderId="9" xfId="0" applyFont="1" applyBorder="1"/>
    <xf numFmtId="0" fontId="12" fillId="0" borderId="10" xfId="0" applyFont="1" applyBorder="1"/>
    <xf numFmtId="167" fontId="12" fillId="0" borderId="5" xfId="7" applyNumberFormat="1" applyFont="1" applyBorder="1"/>
    <xf numFmtId="171" fontId="12" fillId="0" borderId="5" xfId="0" applyNumberFormat="1" applyFont="1" applyBorder="1"/>
    <xf numFmtId="0" fontId="12" fillId="0" borderId="9" xfId="0" applyFont="1" applyFill="1" applyBorder="1" applyAlignment="1"/>
    <xf numFmtId="174" fontId="12" fillId="0" borderId="5" xfId="0" applyNumberFormat="1" applyFont="1" applyFill="1" applyBorder="1"/>
    <xf numFmtId="0" fontId="12" fillId="0" borderId="76" xfId="0" applyFont="1" applyBorder="1"/>
    <xf numFmtId="170" fontId="12" fillId="0" borderId="36" xfId="0" applyNumberFormat="1" applyFont="1" applyBorder="1" applyAlignment="1">
      <alignment horizontal="center"/>
    </xf>
    <xf numFmtId="170" fontId="12" fillId="0" borderId="42" xfId="0" quotePrefix="1" applyNumberFormat="1" applyFont="1" applyBorder="1" applyAlignment="1">
      <alignment horizontal="center"/>
    </xf>
    <xf numFmtId="0" fontId="12" fillId="0" borderId="43" xfId="0" applyFont="1" applyBorder="1"/>
    <xf numFmtId="174" fontId="12" fillId="0" borderId="36" xfId="0" quotePrefix="1" applyNumberFormat="1" applyFont="1" applyBorder="1" applyAlignment="1">
      <alignment horizontal="center"/>
    </xf>
    <xf numFmtId="0" fontId="12" fillId="0" borderId="106" xfId="0" applyFont="1" applyBorder="1"/>
    <xf numFmtId="174" fontId="12" fillId="0" borderId="76" xfId="0" applyNumberFormat="1" applyFont="1" applyBorder="1" applyAlignment="1">
      <alignment horizontal="center"/>
    </xf>
    <xf numFmtId="0" fontId="12" fillId="0" borderId="99" xfId="0" applyFont="1" applyBorder="1"/>
    <xf numFmtId="170" fontId="12" fillId="0" borderId="77" xfId="0" applyNumberFormat="1" applyFont="1" applyBorder="1" applyAlignment="1">
      <alignment horizontal="center"/>
    </xf>
    <xf numFmtId="170" fontId="12" fillId="0" borderId="76" xfId="0" quotePrefix="1" applyNumberFormat="1" applyFont="1" applyBorder="1" applyAlignment="1">
      <alignment horizontal="center"/>
    </xf>
    <xf numFmtId="174" fontId="12" fillId="0" borderId="77" xfId="0" quotePrefix="1" applyNumberFormat="1" applyFont="1" applyBorder="1" applyAlignment="1">
      <alignment horizontal="center"/>
    </xf>
    <xf numFmtId="0" fontId="2" fillId="17" borderId="11" xfId="0" applyFont="1" applyFill="1" applyBorder="1" applyAlignment="1" applyProtection="1">
      <alignment horizontal="center"/>
      <protection locked="0"/>
    </xf>
    <xf numFmtId="0" fontId="2" fillId="17" borderId="6" xfId="0" applyFont="1" applyFill="1" applyBorder="1" applyProtection="1">
      <protection locked="0"/>
    </xf>
    <xf numFmtId="0" fontId="2" fillId="17" borderId="7" xfId="0" applyFont="1" applyFill="1" applyBorder="1" applyProtection="1">
      <protection locked="0"/>
    </xf>
    <xf numFmtId="0" fontId="2" fillId="17" borderId="1" xfId="0" applyFont="1" applyFill="1" applyBorder="1" applyAlignment="1" applyProtection="1">
      <alignment horizontal="center"/>
      <protection locked="0"/>
    </xf>
    <xf numFmtId="0" fontId="2" fillId="17" borderId="0" xfId="0" applyFont="1" applyFill="1" applyBorder="1" applyProtection="1">
      <protection locked="0"/>
    </xf>
    <xf numFmtId="0" fontId="2" fillId="17" borderId="8" xfId="0" applyFont="1" applyFill="1" applyBorder="1" applyProtection="1">
      <protection locked="0"/>
    </xf>
    <xf numFmtId="0" fontId="2" fillId="17" borderId="0" xfId="0" applyFont="1" applyFill="1" applyAlignment="1" applyProtection="1">
      <alignment horizontal="center"/>
      <protection locked="0"/>
    </xf>
    <xf numFmtId="0" fontId="2" fillId="17" borderId="0" xfId="0" applyFont="1" applyFill="1" applyProtection="1">
      <protection locked="0"/>
    </xf>
    <xf numFmtId="0" fontId="2" fillId="17" borderId="0" xfId="0" applyFont="1" applyFill="1" applyAlignment="1" applyProtection="1">
      <alignment horizontal="left"/>
      <protection locked="0"/>
    </xf>
    <xf numFmtId="174" fontId="12" fillId="17" borderId="42" xfId="0" applyNumberFormat="1" applyFont="1" applyFill="1" applyBorder="1" applyProtection="1">
      <protection locked="0"/>
    </xf>
    <xf numFmtId="174" fontId="12" fillId="17" borderId="67" xfId="0" applyNumberFormat="1" applyFont="1" applyFill="1" applyBorder="1" applyProtection="1">
      <protection locked="0"/>
    </xf>
    <xf numFmtId="174" fontId="12" fillId="17" borderId="47" xfId="0" applyNumberFormat="1" applyFont="1" applyFill="1" applyBorder="1" applyProtection="1">
      <protection locked="0"/>
    </xf>
    <xf numFmtId="174" fontId="12" fillId="17" borderId="76" xfId="0" applyNumberFormat="1" applyFont="1" applyFill="1" applyBorder="1" applyProtection="1">
      <protection locked="0"/>
    </xf>
    <xf numFmtId="174" fontId="12" fillId="17" borderId="99" xfId="0" applyNumberFormat="1" applyFont="1" applyFill="1" applyBorder="1" applyProtection="1">
      <protection locked="0"/>
    </xf>
    <xf numFmtId="174" fontId="12" fillId="17" borderId="46" xfId="0" applyNumberFormat="1" applyFont="1" applyFill="1" applyBorder="1" applyProtection="1">
      <protection locked="0"/>
    </xf>
    <xf numFmtId="174" fontId="12" fillId="17" borderId="80" xfId="0" applyNumberFormat="1" applyFont="1" applyFill="1" applyBorder="1" applyProtection="1">
      <protection locked="0"/>
    </xf>
    <xf numFmtId="174" fontId="12" fillId="17" borderId="51" xfId="0" applyNumberFormat="1" applyFont="1" applyFill="1" applyBorder="1" applyProtection="1">
      <protection locked="0"/>
    </xf>
    <xf numFmtId="174" fontId="12" fillId="17" borderId="79" xfId="0" applyNumberFormat="1" applyFont="1" applyFill="1" applyBorder="1" applyProtection="1">
      <protection locked="0"/>
    </xf>
    <xf numFmtId="174" fontId="12" fillId="17" borderId="104" xfId="0" applyNumberFormat="1" applyFont="1" applyFill="1" applyBorder="1" applyProtection="1">
      <protection locked="0"/>
    </xf>
    <xf numFmtId="174" fontId="14" fillId="17" borderId="46" xfId="0" applyNumberFormat="1" applyFont="1" applyFill="1" applyBorder="1" applyProtection="1">
      <protection locked="0"/>
    </xf>
    <xf numFmtId="174" fontId="14" fillId="17" borderId="80" xfId="0" applyNumberFormat="1" applyFont="1" applyFill="1" applyBorder="1" applyProtection="1">
      <protection locked="0"/>
    </xf>
    <xf numFmtId="174" fontId="14" fillId="17" borderId="51" xfId="0" applyNumberFormat="1" applyFont="1" applyFill="1" applyBorder="1" applyProtection="1">
      <protection locked="0"/>
    </xf>
    <xf numFmtId="174" fontId="14" fillId="17" borderId="79" xfId="0" applyNumberFormat="1" applyFont="1" applyFill="1" applyBorder="1" applyProtection="1">
      <protection locked="0"/>
    </xf>
    <xf numFmtId="174" fontId="14" fillId="17" borderId="104" xfId="0" applyNumberFormat="1" applyFont="1" applyFill="1" applyBorder="1" applyProtection="1">
      <protection locked="0"/>
    </xf>
    <xf numFmtId="174" fontId="12" fillId="17" borderId="42" xfId="0" applyNumberFormat="1" applyFont="1" applyFill="1" applyBorder="1" applyAlignment="1" applyProtection="1">
      <alignment horizontal="right"/>
      <protection locked="0"/>
    </xf>
    <xf numFmtId="174" fontId="12" fillId="17" borderId="8" xfId="0" applyNumberFormat="1" applyFont="1" applyFill="1" applyBorder="1" applyAlignment="1" applyProtection="1">
      <alignment horizontal="right"/>
      <protection locked="0"/>
    </xf>
    <xf numFmtId="174" fontId="12" fillId="17" borderId="3" xfId="0" applyNumberFormat="1" applyFont="1" applyFill="1" applyBorder="1" applyAlignment="1" applyProtection="1">
      <alignment horizontal="right"/>
      <protection locked="0"/>
    </xf>
    <xf numFmtId="174" fontId="12" fillId="17" borderId="0" xfId="0" applyNumberFormat="1" applyFont="1" applyFill="1" applyBorder="1" applyAlignment="1" applyProtection="1">
      <alignment horizontal="right"/>
      <protection locked="0"/>
    </xf>
    <xf numFmtId="174" fontId="12" fillId="17" borderId="47" xfId="0" applyNumberFormat="1" applyFont="1" applyFill="1" applyBorder="1" applyAlignment="1" applyProtection="1">
      <alignment horizontal="right"/>
      <protection locked="0"/>
    </xf>
    <xf numFmtId="174" fontId="12" fillId="17" borderId="76" xfId="0" applyNumberFormat="1" applyFont="1" applyFill="1" applyBorder="1" applyAlignment="1" applyProtection="1">
      <alignment horizontal="right"/>
      <protection locked="0"/>
    </xf>
    <xf numFmtId="0" fontId="12" fillId="17" borderId="3" xfId="0" applyFont="1" applyFill="1" applyBorder="1" applyAlignment="1" applyProtection="1">
      <alignment horizontal="left" indent="1"/>
      <protection locked="0"/>
    </xf>
    <xf numFmtId="174" fontId="12" fillId="17" borderId="8" xfId="0" applyNumberFormat="1" applyFont="1" applyFill="1" applyBorder="1" applyProtection="1">
      <protection locked="0"/>
    </xf>
    <xf numFmtId="174" fontId="12" fillId="17" borderId="3" xfId="0" applyNumberFormat="1" applyFont="1" applyFill="1" applyBorder="1" applyProtection="1">
      <protection locked="0"/>
    </xf>
    <xf numFmtId="174" fontId="12" fillId="17" borderId="0" xfId="0" applyNumberFormat="1" applyFont="1" applyFill="1" applyBorder="1" applyProtection="1">
      <protection locked="0"/>
    </xf>
    <xf numFmtId="174" fontId="12" fillId="17" borderId="42" xfId="1" applyNumberFormat="1" applyFont="1" applyFill="1" applyBorder="1" applyProtection="1">
      <protection locked="0"/>
    </xf>
    <xf numFmtId="174" fontId="12" fillId="17" borderId="8" xfId="1" applyNumberFormat="1" applyFont="1" applyFill="1" applyBorder="1" applyProtection="1">
      <protection locked="0"/>
    </xf>
    <xf numFmtId="174" fontId="12" fillId="17" borderId="3" xfId="1" applyNumberFormat="1" applyFont="1" applyFill="1" applyBorder="1" applyProtection="1">
      <protection locked="0"/>
    </xf>
    <xf numFmtId="174" fontId="12" fillId="17" borderId="0" xfId="1" applyNumberFormat="1" applyFont="1" applyFill="1" applyBorder="1" applyProtection="1">
      <protection locked="0"/>
    </xf>
    <xf numFmtId="174" fontId="12" fillId="17" borderId="47" xfId="1" applyNumberFormat="1" applyFont="1" applyFill="1" applyBorder="1" applyProtection="1">
      <protection locked="0"/>
    </xf>
    <xf numFmtId="174" fontId="14" fillId="17" borderId="3" xfId="1" applyNumberFormat="1" applyFont="1" applyFill="1" applyBorder="1" applyProtection="1">
      <protection locked="0"/>
    </xf>
    <xf numFmtId="174" fontId="14" fillId="17" borderId="42" xfId="1" applyNumberFormat="1" applyFont="1" applyFill="1" applyBorder="1" applyProtection="1">
      <protection locked="0"/>
    </xf>
    <xf numFmtId="174" fontId="14" fillId="17" borderId="8" xfId="1" applyNumberFormat="1" applyFont="1" applyFill="1" applyBorder="1" applyProtection="1">
      <protection locked="0"/>
    </xf>
    <xf numFmtId="174" fontId="14" fillId="17" borderId="47" xfId="1" applyNumberFormat="1" applyFont="1" applyFill="1" applyBorder="1" applyProtection="1">
      <protection locked="0"/>
    </xf>
    <xf numFmtId="174" fontId="12" fillId="17" borderId="76" xfId="1" applyNumberFormat="1" applyFont="1" applyFill="1" applyBorder="1" applyProtection="1">
      <protection locked="0"/>
    </xf>
    <xf numFmtId="174" fontId="14" fillId="17" borderId="42" xfId="0" applyNumberFormat="1" applyFont="1" applyFill="1" applyBorder="1" applyProtection="1">
      <protection locked="0"/>
    </xf>
    <xf numFmtId="174" fontId="14" fillId="17" borderId="8" xfId="0" applyNumberFormat="1" applyFont="1" applyFill="1" applyBorder="1" applyProtection="1">
      <protection locked="0"/>
    </xf>
    <xf numFmtId="174" fontId="14" fillId="17" borderId="3" xfId="0" applyNumberFormat="1" applyFont="1" applyFill="1" applyBorder="1" applyProtection="1">
      <protection locked="0"/>
    </xf>
    <xf numFmtId="174" fontId="14" fillId="17" borderId="0" xfId="0" applyNumberFormat="1" applyFont="1" applyFill="1" applyBorder="1" applyProtection="1">
      <protection locked="0"/>
    </xf>
    <xf numFmtId="174" fontId="14" fillId="17" borderId="70" xfId="0" applyNumberFormat="1" applyFont="1" applyFill="1" applyBorder="1" applyProtection="1">
      <protection locked="0"/>
    </xf>
    <xf numFmtId="174" fontId="14" fillId="17" borderId="71" xfId="0" applyNumberFormat="1" applyFont="1" applyFill="1" applyBorder="1" applyProtection="1">
      <protection locked="0"/>
    </xf>
    <xf numFmtId="174" fontId="14" fillId="17" borderId="97" xfId="0" applyNumberFormat="1" applyFont="1" applyFill="1" applyBorder="1" applyProtection="1">
      <protection locked="0"/>
    </xf>
    <xf numFmtId="174" fontId="14" fillId="17" borderId="47" xfId="0" applyNumberFormat="1" applyFont="1" applyFill="1" applyBorder="1" applyProtection="1">
      <protection locked="0"/>
    </xf>
    <xf numFmtId="0" fontId="12" fillId="17" borderId="0" xfId="0" applyFont="1" applyFill="1" applyProtection="1">
      <protection locked="0"/>
    </xf>
    <xf numFmtId="0" fontId="19" fillId="17" borderId="0" xfId="0" applyFont="1" applyFill="1" applyProtection="1">
      <protection locked="0"/>
    </xf>
    <xf numFmtId="174" fontId="12" fillId="17" borderId="71" xfId="0" applyNumberFormat="1" applyFont="1" applyFill="1" applyBorder="1" applyProtection="1">
      <protection locked="0"/>
    </xf>
    <xf numFmtId="174" fontId="12" fillId="17" borderId="72" xfId="0" applyNumberFormat="1" applyFont="1" applyFill="1" applyBorder="1" applyProtection="1">
      <protection locked="0"/>
    </xf>
    <xf numFmtId="174" fontId="12" fillId="17" borderId="68" xfId="0" applyNumberFormat="1" applyFont="1" applyFill="1" applyBorder="1" applyProtection="1">
      <protection locked="0"/>
    </xf>
    <xf numFmtId="174" fontId="12" fillId="17" borderId="73" xfId="0" applyNumberFormat="1" applyFont="1" applyFill="1" applyBorder="1" applyProtection="1">
      <protection locked="0"/>
    </xf>
    <xf numFmtId="174" fontId="12" fillId="17" borderId="97" xfId="0" applyNumberFormat="1" applyFont="1" applyFill="1" applyBorder="1" applyProtection="1">
      <protection locked="0"/>
    </xf>
    <xf numFmtId="175" fontId="12" fillId="17" borderId="42" xfId="0" applyNumberFormat="1" applyFont="1" applyFill="1" applyBorder="1" applyProtection="1">
      <protection locked="0"/>
    </xf>
    <xf numFmtId="175" fontId="12" fillId="17" borderId="8" xfId="0" applyNumberFormat="1" applyFont="1" applyFill="1" applyBorder="1" applyProtection="1">
      <protection locked="0"/>
    </xf>
    <xf numFmtId="175" fontId="12" fillId="17" borderId="3" xfId="1" applyNumberFormat="1" applyFont="1" applyFill="1" applyBorder="1" applyProtection="1">
      <protection locked="0"/>
    </xf>
    <xf numFmtId="175" fontId="12" fillId="17" borderId="0" xfId="0" applyNumberFormat="1" applyFont="1" applyFill="1" applyBorder="1" applyProtection="1">
      <protection locked="0"/>
    </xf>
    <xf numFmtId="175" fontId="12" fillId="17" borderId="47" xfId="0" applyNumberFormat="1" applyFont="1" applyFill="1" applyBorder="1" applyProtection="1">
      <protection locked="0"/>
    </xf>
    <xf numFmtId="175" fontId="12" fillId="17" borderId="42" xfId="1" applyNumberFormat="1" applyFont="1" applyFill="1" applyBorder="1" applyProtection="1">
      <protection locked="0"/>
    </xf>
    <xf numFmtId="175" fontId="12" fillId="17" borderId="8" xfId="1" applyNumberFormat="1" applyFont="1" applyFill="1" applyBorder="1" applyProtection="1">
      <protection locked="0"/>
    </xf>
    <xf numFmtId="175" fontId="12" fillId="17" borderId="0" xfId="1" applyNumberFormat="1" applyFont="1" applyFill="1" applyBorder="1" applyProtection="1">
      <protection locked="0"/>
    </xf>
    <xf numFmtId="175" fontId="12" fillId="17" borderId="47" xfId="1" applyNumberFormat="1" applyFont="1" applyFill="1" applyBorder="1" applyProtection="1">
      <protection locked="0"/>
    </xf>
    <xf numFmtId="175" fontId="12" fillId="17" borderId="71" xfId="0" applyNumberFormat="1" applyFont="1" applyFill="1" applyBorder="1" applyProtection="1">
      <protection locked="0"/>
    </xf>
    <xf numFmtId="175" fontId="12" fillId="17" borderId="72" xfId="0" applyNumberFormat="1" applyFont="1" applyFill="1" applyBorder="1" applyProtection="1">
      <protection locked="0"/>
    </xf>
    <xf numFmtId="175" fontId="12" fillId="17" borderId="68" xfId="1" applyNumberFormat="1" applyFont="1" applyFill="1" applyBorder="1" applyProtection="1">
      <protection locked="0"/>
    </xf>
    <xf numFmtId="175" fontId="12" fillId="17" borderId="71" xfId="1" applyNumberFormat="1" applyFont="1" applyFill="1" applyBorder="1" applyProtection="1">
      <protection locked="0"/>
    </xf>
    <xf numFmtId="175" fontId="12" fillId="17" borderId="73" xfId="1" applyNumberFormat="1" applyFont="1" applyFill="1" applyBorder="1" applyProtection="1">
      <protection locked="0"/>
    </xf>
    <xf numFmtId="175" fontId="12" fillId="17" borderId="70" xfId="0" applyNumberFormat="1" applyFont="1" applyFill="1" applyBorder="1" applyProtection="1">
      <protection locked="0"/>
    </xf>
    <xf numFmtId="168" fontId="12" fillId="17" borderId="42" xfId="0" applyNumberFormat="1" applyFont="1" applyFill="1" applyBorder="1" applyProtection="1">
      <protection locked="0"/>
    </xf>
    <xf numFmtId="168" fontId="12" fillId="17" borderId="8" xfId="0" applyNumberFormat="1" applyFont="1" applyFill="1" applyBorder="1" applyProtection="1">
      <protection locked="0"/>
    </xf>
    <xf numFmtId="168" fontId="12" fillId="17" borderId="3" xfId="0" applyNumberFormat="1" applyFont="1" applyFill="1" applyBorder="1" applyProtection="1">
      <protection locked="0"/>
    </xf>
    <xf numFmtId="168" fontId="12" fillId="17" borderId="0" xfId="0" applyNumberFormat="1" applyFont="1" applyFill="1" applyBorder="1" applyProtection="1">
      <protection locked="0"/>
    </xf>
    <xf numFmtId="168" fontId="12" fillId="17" borderId="47" xfId="0" applyNumberFormat="1" applyFont="1" applyFill="1" applyBorder="1" applyProtection="1">
      <protection locked="0"/>
    </xf>
    <xf numFmtId="168" fontId="12" fillId="17" borderId="71" xfId="0" applyNumberFormat="1" applyFont="1" applyFill="1" applyBorder="1" applyProtection="1">
      <protection locked="0"/>
    </xf>
    <xf numFmtId="168" fontId="12" fillId="17" borderId="72" xfId="0" applyNumberFormat="1" applyFont="1" applyFill="1" applyBorder="1" applyProtection="1">
      <protection locked="0"/>
    </xf>
    <xf numFmtId="168" fontId="12" fillId="17" borderId="68" xfId="0" applyNumberFormat="1" applyFont="1" applyFill="1" applyBorder="1" applyProtection="1">
      <protection locked="0"/>
    </xf>
    <xf numFmtId="168" fontId="12" fillId="17" borderId="73" xfId="0" applyNumberFormat="1" applyFont="1" applyFill="1" applyBorder="1" applyProtection="1">
      <protection locked="0"/>
    </xf>
    <xf numFmtId="168" fontId="12" fillId="17" borderId="70" xfId="0" applyNumberFormat="1" applyFont="1" applyFill="1" applyBorder="1" applyProtection="1">
      <protection locked="0"/>
    </xf>
    <xf numFmtId="168" fontId="14" fillId="17" borderId="42" xfId="0" applyNumberFormat="1" applyFont="1" applyFill="1" applyBorder="1" applyProtection="1">
      <protection locked="0"/>
    </xf>
    <xf numFmtId="168" fontId="14" fillId="17" borderId="8" xfId="0" applyNumberFormat="1" applyFont="1" applyFill="1" applyBorder="1" applyProtection="1">
      <protection locked="0"/>
    </xf>
    <xf numFmtId="168" fontId="14" fillId="17" borderId="3" xfId="0" applyNumberFormat="1" applyFont="1" applyFill="1" applyBorder="1" applyProtection="1">
      <protection locked="0"/>
    </xf>
    <xf numFmtId="168" fontId="14" fillId="17" borderId="0" xfId="0" applyNumberFormat="1" applyFont="1" applyFill="1" applyBorder="1" applyProtection="1">
      <protection locked="0"/>
    </xf>
    <xf numFmtId="168" fontId="14" fillId="17" borderId="47" xfId="0" applyNumberFormat="1" applyFont="1" applyFill="1" applyBorder="1" applyProtection="1">
      <protection locked="0"/>
    </xf>
    <xf numFmtId="0" fontId="17" fillId="17" borderId="3" xfId="0" applyFont="1" applyFill="1" applyBorder="1" applyAlignment="1" applyProtection="1">
      <alignment horizontal="left" indent="1"/>
      <protection locked="0"/>
    </xf>
    <xf numFmtId="0" fontId="12" fillId="17" borderId="4" xfId="0" applyFont="1" applyFill="1" applyBorder="1" applyProtection="1">
      <protection locked="0"/>
    </xf>
    <xf numFmtId="174" fontId="12" fillId="17" borderId="43" xfId="0" applyNumberFormat="1" applyFont="1" applyFill="1" applyBorder="1" applyProtection="1">
      <protection locked="0"/>
    </xf>
    <xf numFmtId="174" fontId="12" fillId="17" borderId="7" xfId="0" applyNumberFormat="1" applyFont="1" applyFill="1" applyBorder="1" applyProtection="1">
      <protection locked="0"/>
    </xf>
    <xf numFmtId="174" fontId="12" fillId="17" borderId="12" xfId="0" applyNumberFormat="1" applyFont="1" applyFill="1" applyBorder="1" applyProtection="1">
      <protection locked="0"/>
    </xf>
    <xf numFmtId="174" fontId="12" fillId="17" borderId="6" xfId="0" applyNumberFormat="1" applyFont="1" applyFill="1" applyBorder="1" applyProtection="1">
      <protection locked="0"/>
    </xf>
    <xf numFmtId="174" fontId="12" fillId="17" borderId="45" xfId="0" applyNumberFormat="1" applyFont="1" applyFill="1" applyBorder="1" applyProtection="1">
      <protection locked="0"/>
    </xf>
    <xf numFmtId="174" fontId="12" fillId="17" borderId="36" xfId="0" applyNumberFormat="1" applyFont="1" applyFill="1" applyBorder="1" applyProtection="1">
      <protection locked="0"/>
    </xf>
    <xf numFmtId="174" fontId="12" fillId="17" borderId="10" xfId="0" applyNumberFormat="1" applyFont="1" applyFill="1" applyBorder="1" applyProtection="1">
      <protection locked="0"/>
    </xf>
    <xf numFmtId="174" fontId="12" fillId="17" borderId="4" xfId="0" applyNumberFormat="1" applyFont="1" applyFill="1" applyBorder="1" applyProtection="1">
      <protection locked="0"/>
    </xf>
    <xf numFmtId="174" fontId="12" fillId="17" borderId="9" xfId="0" applyNumberFormat="1" applyFont="1" applyFill="1" applyBorder="1" applyProtection="1">
      <protection locked="0"/>
    </xf>
    <xf numFmtId="174" fontId="12" fillId="17" borderId="64" xfId="0" applyNumberFormat="1" applyFont="1" applyFill="1" applyBorder="1" applyProtection="1">
      <protection locked="0"/>
    </xf>
    <xf numFmtId="0" fontId="12" fillId="17" borderId="3" xfId="0" applyFont="1" applyFill="1" applyBorder="1" applyAlignment="1" applyProtection="1">
      <alignment vertical="top" wrapText="1"/>
      <protection locked="0"/>
    </xf>
    <xf numFmtId="0" fontId="12" fillId="17" borderId="42" xfId="0" applyFont="1" applyFill="1" applyBorder="1" applyAlignment="1" applyProtection="1">
      <alignment vertical="top" wrapText="1"/>
      <protection locked="0"/>
    </xf>
    <xf numFmtId="174" fontId="12" fillId="17" borderId="42" xfId="0" applyNumberFormat="1" applyFont="1" applyFill="1" applyBorder="1" applyAlignment="1" applyProtection="1">
      <alignment vertical="top" wrapText="1"/>
      <protection locked="0"/>
    </xf>
    <xf numFmtId="174" fontId="12" fillId="17" borderId="8" xfId="0" applyNumberFormat="1" applyFont="1" applyFill="1" applyBorder="1" applyAlignment="1" applyProtection="1">
      <alignment vertical="top" wrapText="1"/>
      <protection locked="0"/>
    </xf>
    <xf numFmtId="174" fontId="12" fillId="17" borderId="3" xfId="0" applyNumberFormat="1" applyFont="1" applyFill="1" applyBorder="1" applyAlignment="1" applyProtection="1">
      <alignment vertical="top" wrapText="1"/>
      <protection locked="0"/>
    </xf>
    <xf numFmtId="174" fontId="12" fillId="17" borderId="0" xfId="0" applyNumberFormat="1" applyFont="1" applyFill="1" applyBorder="1" applyAlignment="1" applyProtection="1">
      <alignment vertical="top" wrapText="1"/>
      <protection locked="0"/>
    </xf>
    <xf numFmtId="174" fontId="12" fillId="17" borderId="47" xfId="0" applyNumberFormat="1" applyFont="1" applyFill="1" applyBorder="1" applyAlignment="1" applyProtection="1">
      <alignment vertical="top" wrapText="1"/>
      <protection locked="0"/>
    </xf>
    <xf numFmtId="0" fontId="14" fillId="17" borderId="42" xfId="0" applyFont="1" applyFill="1" applyBorder="1" applyAlignment="1" applyProtection="1">
      <alignment horizontal="center" vertical="top" wrapText="1"/>
      <protection locked="0"/>
    </xf>
    <xf numFmtId="0" fontId="14" fillId="17" borderId="8" xfId="0" applyFont="1" applyFill="1" applyBorder="1" applyAlignment="1" applyProtection="1">
      <alignment horizontal="left" vertical="top" wrapText="1"/>
      <protection locked="0"/>
    </xf>
    <xf numFmtId="167" fontId="12" fillId="17" borderId="8" xfId="6" applyNumberFormat="1" applyFont="1" applyFill="1" applyBorder="1" applyAlignment="1" applyProtection="1">
      <alignment horizontal="center" vertical="top" wrapText="1"/>
      <protection locked="0"/>
    </xf>
    <xf numFmtId="167" fontId="12" fillId="17" borderId="1" xfId="6" applyNumberFormat="1" applyFont="1" applyFill="1" applyBorder="1" applyAlignment="1" applyProtection="1">
      <alignment horizontal="center" vertical="top" wrapText="1"/>
      <protection locked="0"/>
    </xf>
    <xf numFmtId="0" fontId="12" fillId="17" borderId="1" xfId="0" applyFont="1" applyFill="1" applyBorder="1" applyAlignment="1" applyProtection="1">
      <alignment horizontal="left" vertical="top" wrapText="1"/>
      <protection locked="0"/>
    </xf>
    <xf numFmtId="0" fontId="12" fillId="17" borderId="8" xfId="0" applyFont="1" applyFill="1" applyBorder="1" applyAlignment="1" applyProtection="1">
      <alignment horizontal="left" vertical="top" wrapText="1"/>
      <protection locked="0"/>
    </xf>
    <xf numFmtId="0" fontId="17" fillId="17" borderId="5" xfId="0" applyFont="1" applyFill="1" applyBorder="1" applyAlignment="1" applyProtection="1">
      <alignment horizontal="left" wrapText="1"/>
      <protection locked="0"/>
    </xf>
    <xf numFmtId="0" fontId="14" fillId="17" borderId="5" xfId="0" applyFont="1" applyFill="1" applyBorder="1" applyAlignment="1" applyProtection="1">
      <alignment horizontal="left" vertical="top" wrapText="1"/>
      <protection locked="0"/>
    </xf>
    <xf numFmtId="0" fontId="12" fillId="17" borderId="44" xfId="0" applyFont="1" applyFill="1" applyBorder="1" applyAlignment="1" applyProtection="1">
      <alignment horizontal="left" vertical="top" wrapText="1"/>
      <protection locked="0"/>
    </xf>
    <xf numFmtId="167" fontId="12" fillId="17" borderId="49" xfId="6" applyNumberFormat="1" applyFont="1" applyFill="1" applyBorder="1" applyAlignment="1" applyProtection="1">
      <alignment horizontal="center" vertical="top" wrapText="1"/>
      <protection locked="0"/>
    </xf>
    <xf numFmtId="167" fontId="12" fillId="17" borderId="44" xfId="6" applyNumberFormat="1" applyFont="1" applyFill="1" applyBorder="1" applyAlignment="1" applyProtection="1">
      <alignment horizontal="center" vertical="top" wrapText="1"/>
      <protection locked="0"/>
    </xf>
    <xf numFmtId="0" fontId="14" fillId="17" borderId="44" xfId="0" applyFont="1" applyFill="1" applyBorder="1" applyAlignment="1" applyProtection="1">
      <alignment horizontal="left" vertical="top" wrapText="1"/>
      <protection locked="0"/>
    </xf>
    <xf numFmtId="0" fontId="14" fillId="17" borderId="2" xfId="0" applyFont="1" applyFill="1" applyBorder="1" applyAlignment="1" applyProtection="1">
      <alignment horizontal="left" vertical="top" wrapText="1"/>
      <protection locked="0"/>
    </xf>
    <xf numFmtId="0" fontId="12" fillId="17" borderId="5" xfId="0" applyFont="1" applyFill="1" applyBorder="1" applyAlignment="1" applyProtection="1">
      <alignment horizontal="left" vertical="top" wrapText="1"/>
      <protection locked="0"/>
    </xf>
    <xf numFmtId="167" fontId="12" fillId="17" borderId="10" xfId="6" applyNumberFormat="1" applyFont="1" applyFill="1" applyBorder="1" applyAlignment="1" applyProtection="1">
      <alignment horizontal="center" vertical="top" wrapText="1"/>
      <protection locked="0"/>
    </xf>
    <xf numFmtId="167" fontId="12" fillId="17" borderId="5" xfId="6" applyNumberFormat="1" applyFont="1" applyFill="1" applyBorder="1" applyAlignment="1" applyProtection="1">
      <alignment horizontal="center" vertical="top" wrapText="1"/>
      <protection locked="0"/>
    </xf>
    <xf numFmtId="0" fontId="14" fillId="17" borderId="2" xfId="0" applyFont="1" applyFill="1" applyBorder="1" applyAlignment="1" applyProtection="1">
      <alignment horizontal="left" wrapText="1" indent="1"/>
      <protection locked="0"/>
    </xf>
    <xf numFmtId="175" fontId="12" fillId="17" borderId="99" xfId="6" applyNumberFormat="1" applyFont="1" applyFill="1" applyBorder="1" applyAlignment="1" applyProtection="1">
      <alignment horizontal="center" vertical="top" wrapText="1"/>
      <protection locked="0"/>
    </xf>
    <xf numFmtId="175" fontId="12" fillId="17" borderId="42" xfId="6" applyNumberFormat="1" applyFont="1" applyFill="1" applyBorder="1" applyAlignment="1" applyProtection="1">
      <alignment horizontal="center" vertical="top" wrapText="1"/>
      <protection locked="0"/>
    </xf>
    <xf numFmtId="175" fontId="12" fillId="17" borderId="8" xfId="6" applyNumberFormat="1" applyFont="1" applyFill="1" applyBorder="1" applyAlignment="1" applyProtection="1">
      <alignment horizontal="center" vertical="top" wrapText="1"/>
      <protection locked="0"/>
    </xf>
    <xf numFmtId="175" fontId="12" fillId="17" borderId="3" xfId="6" applyNumberFormat="1" applyFont="1" applyFill="1" applyBorder="1" applyAlignment="1" applyProtection="1">
      <alignment horizontal="center" vertical="top" wrapText="1"/>
      <protection locked="0"/>
    </xf>
    <xf numFmtId="175" fontId="12" fillId="17" borderId="0" xfId="6" applyNumberFormat="1" applyFont="1" applyFill="1" applyBorder="1" applyAlignment="1" applyProtection="1">
      <alignment horizontal="center" vertical="top" wrapText="1"/>
      <protection locked="0"/>
    </xf>
    <xf numFmtId="0" fontId="17" fillId="17" borderId="2" xfId="0" applyFont="1" applyFill="1" applyBorder="1" applyAlignment="1" applyProtection="1">
      <alignment horizontal="left" wrapText="1" indent="1"/>
      <protection locked="0"/>
    </xf>
    <xf numFmtId="0" fontId="17" fillId="17" borderId="11" xfId="0" applyFont="1" applyFill="1" applyBorder="1" applyAlignment="1" applyProtection="1">
      <alignment horizontal="left" wrapText="1" indent="1"/>
      <protection locked="0"/>
    </xf>
    <xf numFmtId="0" fontId="12" fillId="17" borderId="7" xfId="0" applyFont="1" applyFill="1" applyBorder="1" applyAlignment="1" applyProtection="1">
      <alignment horizontal="left" vertical="top" wrapText="1"/>
      <protection locked="0"/>
    </xf>
    <xf numFmtId="175" fontId="12" fillId="17" borderId="103" xfId="6" applyNumberFormat="1" applyFont="1" applyFill="1" applyBorder="1" applyAlignment="1" applyProtection="1">
      <alignment horizontal="center" vertical="top" wrapText="1"/>
      <protection locked="0"/>
    </xf>
    <xf numFmtId="175" fontId="12" fillId="17" borderId="43" xfId="6" applyNumberFormat="1" applyFont="1" applyFill="1" applyBorder="1" applyAlignment="1" applyProtection="1">
      <alignment horizontal="center" vertical="top" wrapText="1"/>
      <protection locked="0"/>
    </xf>
    <xf numFmtId="175" fontId="12" fillId="17" borderId="7" xfId="6" applyNumberFormat="1" applyFont="1" applyFill="1" applyBorder="1" applyAlignment="1" applyProtection="1">
      <alignment horizontal="center" vertical="top" wrapText="1"/>
      <protection locked="0"/>
    </xf>
    <xf numFmtId="0" fontId="12" fillId="17" borderId="8" xfId="0" applyFont="1" applyFill="1" applyBorder="1" applyAlignment="1" applyProtection="1">
      <alignment horizontal="left" wrapText="1"/>
      <protection locked="0"/>
    </xf>
    <xf numFmtId="175" fontId="12" fillId="17" borderId="99" xfId="0" applyNumberFormat="1" applyFont="1" applyFill="1" applyBorder="1" applyAlignment="1" applyProtection="1">
      <alignment horizontal="center" vertical="top" wrapText="1"/>
      <protection locked="0"/>
    </xf>
    <xf numFmtId="175" fontId="12" fillId="17" borderId="42" xfId="0" applyNumberFormat="1" applyFont="1" applyFill="1" applyBorder="1" applyAlignment="1" applyProtection="1">
      <alignment horizontal="center" vertical="top" wrapText="1"/>
      <protection locked="0"/>
    </xf>
    <xf numFmtId="175" fontId="12" fillId="17" borderId="8" xfId="0" applyNumberFormat="1" applyFont="1" applyFill="1" applyBorder="1" applyAlignment="1" applyProtection="1">
      <alignment horizontal="center" vertical="top" wrapText="1"/>
      <protection locked="0"/>
    </xf>
    <xf numFmtId="0" fontId="14" fillId="17" borderId="11" xfId="0" applyFont="1" applyFill="1" applyBorder="1" applyAlignment="1" applyProtection="1">
      <alignment horizontal="left" vertical="top" wrapText="1"/>
      <protection locked="0"/>
    </xf>
    <xf numFmtId="175" fontId="12" fillId="17" borderId="103" xfId="1" applyNumberFormat="1" applyFont="1" applyFill="1" applyBorder="1" applyAlignment="1" applyProtection="1">
      <alignment horizontal="center" vertical="top" wrapText="1"/>
      <protection locked="0"/>
    </xf>
    <xf numFmtId="175" fontId="12" fillId="17" borderId="43" xfId="1" applyNumberFormat="1" applyFont="1" applyFill="1" applyBorder="1" applyAlignment="1" applyProtection="1">
      <alignment horizontal="center" vertical="top" wrapText="1"/>
      <protection locked="0"/>
    </xf>
    <xf numFmtId="175" fontId="12" fillId="17" borderId="7" xfId="1" applyNumberFormat="1" applyFont="1" applyFill="1" applyBorder="1" applyAlignment="1" applyProtection="1">
      <alignment horizontal="center" vertical="top" wrapText="1"/>
      <protection locked="0"/>
    </xf>
    <xf numFmtId="175" fontId="12" fillId="17" borderId="99" xfId="1" applyNumberFormat="1" applyFont="1" applyFill="1" applyBorder="1" applyAlignment="1" applyProtection="1">
      <alignment horizontal="center" vertical="top" wrapText="1"/>
      <protection locked="0"/>
    </xf>
    <xf numFmtId="175" fontId="12" fillId="17" borderId="42" xfId="1" applyNumberFormat="1" applyFont="1" applyFill="1" applyBorder="1" applyAlignment="1" applyProtection="1">
      <alignment horizontal="center" vertical="top" wrapText="1"/>
      <protection locked="0"/>
    </xf>
    <xf numFmtId="175" fontId="12" fillId="17" borderId="8" xfId="1" applyNumberFormat="1" applyFont="1" applyFill="1" applyBorder="1" applyAlignment="1" applyProtection="1">
      <alignment horizontal="center" vertical="top" wrapText="1"/>
      <protection locked="0"/>
    </xf>
    <xf numFmtId="0" fontId="12" fillId="17" borderId="10" xfId="0" applyFont="1" applyFill="1" applyBorder="1" applyAlignment="1" applyProtection="1">
      <alignment horizontal="left" vertical="top" wrapText="1"/>
      <protection locked="0"/>
    </xf>
    <xf numFmtId="175" fontId="12" fillId="17" borderId="93" xfId="0" applyNumberFormat="1" applyFont="1" applyFill="1" applyBorder="1" applyAlignment="1" applyProtection="1">
      <alignment horizontal="center" vertical="top" wrapText="1"/>
      <protection locked="0"/>
    </xf>
    <xf numFmtId="175" fontId="12" fillId="17" borderId="36" xfId="0" applyNumberFormat="1" applyFont="1" applyFill="1" applyBorder="1" applyAlignment="1" applyProtection="1">
      <alignment horizontal="center" vertical="top" wrapText="1"/>
      <protection locked="0"/>
    </xf>
    <xf numFmtId="175" fontId="12" fillId="17" borderId="10" xfId="0" applyNumberFormat="1" applyFont="1" applyFill="1" applyBorder="1" applyAlignment="1" applyProtection="1">
      <alignment horizontal="center" vertical="top" wrapText="1"/>
      <protection locked="0"/>
    </xf>
    <xf numFmtId="0" fontId="12" fillId="17" borderId="47" xfId="6" applyNumberFormat="1" applyFont="1" applyFill="1" applyBorder="1" applyAlignment="1" applyProtection="1">
      <alignment horizontal="center" vertical="top" wrapText="1"/>
      <protection locked="0"/>
    </xf>
    <xf numFmtId="167" fontId="12" fillId="17" borderId="47" xfId="6" applyNumberFormat="1" applyFont="1" applyFill="1" applyBorder="1" applyAlignment="1" applyProtection="1">
      <alignment horizontal="center" vertical="top" wrapText="1"/>
      <protection locked="0"/>
    </xf>
    <xf numFmtId="167" fontId="12" fillId="17" borderId="42" xfId="6" applyNumberFormat="1" applyFont="1" applyFill="1" applyBorder="1" applyAlignment="1" applyProtection="1">
      <alignment horizontal="center" vertical="top" wrapText="1"/>
      <protection locked="0"/>
    </xf>
    <xf numFmtId="167" fontId="12" fillId="17" borderId="3" xfId="6" applyNumberFormat="1" applyFont="1" applyFill="1" applyBorder="1" applyAlignment="1" applyProtection="1">
      <alignment horizontal="center" vertical="top" wrapText="1"/>
      <protection locked="0"/>
    </xf>
    <xf numFmtId="167" fontId="12" fillId="17" borderId="0" xfId="6" applyNumberFormat="1" applyFont="1" applyFill="1" applyBorder="1" applyAlignment="1" applyProtection="1">
      <alignment horizontal="center" vertical="top" wrapText="1"/>
      <protection locked="0"/>
    </xf>
    <xf numFmtId="167" fontId="12" fillId="17" borderId="47" xfId="0" applyNumberFormat="1" applyFont="1" applyFill="1" applyBorder="1" applyAlignment="1" applyProtection="1">
      <alignment horizontal="center" vertical="top" wrapText="1"/>
      <protection locked="0"/>
    </xf>
    <xf numFmtId="167" fontId="12" fillId="17" borderId="42" xfId="0" applyNumberFormat="1" applyFont="1" applyFill="1" applyBorder="1" applyAlignment="1" applyProtection="1">
      <alignment horizontal="center" vertical="top" wrapText="1"/>
      <protection locked="0"/>
    </xf>
    <xf numFmtId="167" fontId="12" fillId="17" borderId="8" xfId="0" applyNumberFormat="1" applyFont="1" applyFill="1" applyBorder="1" applyAlignment="1" applyProtection="1">
      <alignment horizontal="center" vertical="top" wrapText="1"/>
      <protection locked="0"/>
    </xf>
    <xf numFmtId="167" fontId="12" fillId="17" borderId="3" xfId="0" applyNumberFormat="1" applyFont="1" applyFill="1" applyBorder="1" applyAlignment="1" applyProtection="1">
      <alignment horizontal="center" vertical="top" wrapText="1"/>
      <protection locked="0"/>
    </xf>
    <xf numFmtId="167" fontId="12" fillId="17" borderId="0" xfId="0" applyNumberFormat="1" applyFont="1" applyFill="1" applyBorder="1" applyAlignment="1" applyProtection="1">
      <alignment horizontal="center" vertical="top" wrapText="1"/>
      <protection locked="0"/>
    </xf>
    <xf numFmtId="167" fontId="12" fillId="17" borderId="2" xfId="0" applyNumberFormat="1" applyFont="1" applyFill="1" applyBorder="1" applyAlignment="1" applyProtection="1">
      <alignment horizontal="center"/>
      <protection locked="0"/>
    </xf>
    <xf numFmtId="174" fontId="12" fillId="17" borderId="76" xfId="1" applyNumberFormat="1" applyFont="1" applyFill="1" applyBorder="1" applyAlignment="1" applyProtection="1">
      <alignment horizontal="left" vertical="top" wrapText="1"/>
      <protection locked="0"/>
    </xf>
    <xf numFmtId="174" fontId="12" fillId="17" borderId="3" xfId="0" applyNumberFormat="1" applyFont="1" applyFill="1" applyBorder="1" applyAlignment="1" applyProtection="1">
      <alignment horizontal="center" vertical="top" wrapText="1"/>
      <protection locked="0"/>
    </xf>
    <xf numFmtId="174" fontId="12" fillId="17" borderId="42" xfId="0" applyNumberFormat="1" applyFont="1" applyFill="1" applyBorder="1" applyAlignment="1" applyProtection="1">
      <alignment horizontal="center" vertical="top" wrapText="1"/>
      <protection locked="0"/>
    </xf>
    <xf numFmtId="174" fontId="12" fillId="17" borderId="67" xfId="0" applyNumberFormat="1" applyFont="1" applyFill="1" applyBorder="1" applyAlignment="1" applyProtection="1">
      <alignment horizontal="center" vertical="top" wrapText="1"/>
      <protection locked="0"/>
    </xf>
    <xf numFmtId="174" fontId="12" fillId="17" borderId="1" xfId="0" applyNumberFormat="1" applyFont="1" applyFill="1" applyBorder="1" applyAlignment="1" applyProtection="1">
      <alignment horizontal="center" vertical="top" wrapText="1"/>
      <protection locked="0"/>
    </xf>
    <xf numFmtId="174" fontId="12" fillId="17" borderId="0" xfId="0" applyNumberFormat="1" applyFont="1" applyFill="1" applyBorder="1" applyAlignment="1" applyProtection="1">
      <alignment horizontal="center" vertical="top" wrapText="1"/>
      <protection locked="0"/>
    </xf>
    <xf numFmtId="174" fontId="12" fillId="17" borderId="3" xfId="6" applyNumberFormat="1" applyFont="1" applyFill="1" applyBorder="1" applyAlignment="1" applyProtection="1">
      <alignment horizontal="center" vertical="top" wrapText="1"/>
      <protection locked="0"/>
    </xf>
    <xf numFmtId="174" fontId="12" fillId="17" borderId="42" xfId="6" applyNumberFormat="1" applyFont="1" applyFill="1" applyBorder="1" applyAlignment="1" applyProtection="1">
      <alignment horizontal="center" vertical="top" wrapText="1"/>
      <protection locked="0"/>
    </xf>
    <xf numFmtId="174" fontId="12" fillId="17" borderId="67" xfId="6" applyNumberFormat="1" applyFont="1" applyFill="1" applyBorder="1" applyAlignment="1" applyProtection="1">
      <alignment horizontal="center" vertical="top" wrapText="1"/>
      <protection locked="0"/>
    </xf>
    <xf numFmtId="174" fontId="12" fillId="17" borderId="1" xfId="6" applyNumberFormat="1" applyFont="1" applyFill="1" applyBorder="1" applyAlignment="1" applyProtection="1">
      <alignment horizontal="center" vertical="top" wrapText="1"/>
      <protection locked="0"/>
    </xf>
    <xf numFmtId="174" fontId="12" fillId="17" borderId="0" xfId="6" applyNumberFormat="1" applyFont="1" applyFill="1" applyBorder="1" applyAlignment="1" applyProtection="1">
      <alignment horizontal="center" vertical="top" wrapText="1"/>
      <protection locked="0"/>
    </xf>
    <xf numFmtId="174" fontId="12" fillId="17" borderId="8" xfId="6" applyNumberFormat="1" applyFont="1" applyFill="1" applyBorder="1" applyAlignment="1" applyProtection="1">
      <alignment horizontal="center" vertical="top" wrapText="1"/>
      <protection locked="0"/>
    </xf>
    <xf numFmtId="174" fontId="12" fillId="17" borderId="97" xfId="6" applyNumberFormat="1" applyFont="1" applyFill="1" applyBorder="1" applyAlignment="1" applyProtection="1">
      <alignment horizontal="center" vertical="top" wrapText="1"/>
      <protection locked="0"/>
    </xf>
    <xf numFmtId="174" fontId="12" fillId="17" borderId="68" xfId="6" applyNumberFormat="1" applyFont="1" applyFill="1" applyBorder="1" applyAlignment="1" applyProtection="1">
      <alignment horizontal="center" vertical="top" wrapText="1"/>
      <protection locked="0"/>
    </xf>
    <xf numFmtId="174" fontId="12" fillId="17" borderId="71" xfId="6" applyNumberFormat="1" applyFont="1" applyFill="1" applyBorder="1" applyAlignment="1" applyProtection="1">
      <alignment horizontal="center" vertical="top" wrapText="1"/>
      <protection locked="0"/>
    </xf>
    <xf numFmtId="174" fontId="12" fillId="17" borderId="69" xfId="6" applyNumberFormat="1" applyFont="1" applyFill="1" applyBorder="1" applyAlignment="1" applyProtection="1">
      <alignment horizontal="center" vertical="top" wrapText="1"/>
      <protection locked="0"/>
    </xf>
    <xf numFmtId="174" fontId="12" fillId="17" borderId="98" xfId="6" applyNumberFormat="1" applyFont="1" applyFill="1" applyBorder="1" applyAlignment="1" applyProtection="1">
      <alignment horizontal="center" vertical="top" wrapText="1"/>
      <protection locked="0"/>
    </xf>
    <xf numFmtId="174" fontId="12" fillId="17" borderId="73" xfId="6" applyNumberFormat="1" applyFont="1" applyFill="1" applyBorder="1" applyAlignment="1" applyProtection="1">
      <alignment horizontal="center" vertical="top" wrapText="1"/>
      <protection locked="0"/>
    </xf>
    <xf numFmtId="174" fontId="12" fillId="17" borderId="72" xfId="6" applyNumberFormat="1" applyFont="1" applyFill="1" applyBorder="1" applyAlignment="1" applyProtection="1">
      <alignment horizontal="center" vertical="top" wrapText="1"/>
      <protection locked="0"/>
    </xf>
    <xf numFmtId="0" fontId="12" fillId="17" borderId="3" xfId="0" applyNumberFormat="1" applyFont="1" applyFill="1" applyBorder="1" applyAlignment="1" applyProtection="1">
      <alignment horizontal="left" vertical="top" wrapText="1" indent="1"/>
      <protection locked="0"/>
    </xf>
    <xf numFmtId="175" fontId="12" fillId="17" borderId="76" xfId="1" applyNumberFormat="1" applyFont="1" applyFill="1" applyBorder="1" applyAlignment="1" applyProtection="1">
      <alignment horizontal="left" vertical="top" wrapText="1"/>
      <protection locked="0"/>
    </xf>
    <xf numFmtId="175" fontId="12" fillId="17" borderId="67" xfId="6" applyNumberFormat="1" applyFont="1" applyFill="1" applyBorder="1" applyAlignment="1" applyProtection="1">
      <alignment horizontal="center" vertical="top" wrapText="1"/>
      <protection locked="0"/>
    </xf>
    <xf numFmtId="175" fontId="12" fillId="17" borderId="1" xfId="6" applyNumberFormat="1" applyFont="1" applyFill="1" applyBorder="1" applyAlignment="1" applyProtection="1">
      <alignment horizontal="center" vertical="top" wrapText="1"/>
      <protection locked="0"/>
    </xf>
    <xf numFmtId="0" fontId="12" fillId="17" borderId="68" xfId="0" applyNumberFormat="1" applyFont="1" applyFill="1" applyBorder="1" applyAlignment="1" applyProtection="1">
      <alignment horizontal="left" vertical="top" wrapText="1" indent="1"/>
      <protection locked="0"/>
    </xf>
    <xf numFmtId="175" fontId="12" fillId="17" borderId="97" xfId="1" applyNumberFormat="1" applyFont="1" applyFill="1" applyBorder="1" applyAlignment="1" applyProtection="1">
      <alignment horizontal="left" vertical="top" wrapText="1"/>
      <protection locked="0"/>
    </xf>
    <xf numFmtId="175" fontId="12" fillId="17" borderId="68" xfId="0" applyNumberFormat="1" applyFont="1" applyFill="1" applyBorder="1" applyAlignment="1" applyProtection="1">
      <alignment horizontal="center" vertical="top" wrapText="1"/>
      <protection locked="0"/>
    </xf>
    <xf numFmtId="175" fontId="12" fillId="17" borderId="71" xfId="0" applyNumberFormat="1" applyFont="1" applyFill="1" applyBorder="1" applyAlignment="1" applyProtection="1">
      <alignment horizontal="center" vertical="top" wrapText="1"/>
      <protection locked="0"/>
    </xf>
    <xf numFmtId="175" fontId="12" fillId="17" borderId="69" xfId="0" applyNumberFormat="1" applyFont="1" applyFill="1" applyBorder="1" applyAlignment="1" applyProtection="1">
      <alignment horizontal="center" vertical="top" wrapText="1"/>
      <protection locked="0"/>
    </xf>
    <xf numFmtId="175" fontId="12" fillId="17" borderId="98" xfId="0" applyNumberFormat="1" applyFont="1" applyFill="1" applyBorder="1" applyAlignment="1" applyProtection="1">
      <alignment horizontal="center" vertical="top" wrapText="1"/>
      <protection locked="0"/>
    </xf>
    <xf numFmtId="175" fontId="12" fillId="17" borderId="73" xfId="0" applyNumberFormat="1" applyFont="1" applyFill="1" applyBorder="1" applyAlignment="1" applyProtection="1">
      <alignment horizontal="center" vertical="top" wrapText="1"/>
      <protection locked="0"/>
    </xf>
    <xf numFmtId="175" fontId="12" fillId="17" borderId="72" xfId="0" applyNumberFormat="1" applyFont="1" applyFill="1" applyBorder="1" applyAlignment="1" applyProtection="1">
      <alignment horizontal="center" vertical="top" wrapText="1"/>
      <protection locked="0"/>
    </xf>
    <xf numFmtId="164" fontId="12" fillId="17" borderId="76" xfId="1" applyNumberFormat="1" applyFont="1" applyFill="1" applyBorder="1" applyAlignment="1" applyProtection="1">
      <alignment horizontal="left" vertical="top" wrapText="1"/>
      <protection locked="0"/>
    </xf>
    <xf numFmtId="2" fontId="12" fillId="17" borderId="3" xfId="1" applyNumberFormat="1" applyFont="1" applyFill="1" applyBorder="1" applyAlignment="1" applyProtection="1">
      <alignment horizontal="center" vertical="top" wrapText="1"/>
      <protection locked="0"/>
    </xf>
    <xf numFmtId="2" fontId="12" fillId="17" borderId="42" xfId="1" applyNumberFormat="1" applyFont="1" applyFill="1" applyBorder="1" applyAlignment="1" applyProtection="1">
      <alignment horizontal="center" vertical="top" wrapText="1"/>
      <protection locked="0"/>
    </xf>
    <xf numFmtId="2" fontId="12" fillId="17" borderId="67" xfId="1" applyNumberFormat="1" applyFont="1" applyFill="1" applyBorder="1" applyAlignment="1" applyProtection="1">
      <alignment horizontal="center" vertical="top" wrapText="1"/>
      <protection locked="0"/>
    </xf>
    <xf numFmtId="2" fontId="12" fillId="17" borderId="1" xfId="1" applyNumberFormat="1" applyFont="1" applyFill="1" applyBorder="1" applyAlignment="1" applyProtection="1">
      <alignment horizontal="center" vertical="top" wrapText="1"/>
      <protection locked="0"/>
    </xf>
    <xf numFmtId="2" fontId="12" fillId="17" borderId="0" xfId="1" applyNumberFormat="1" applyFont="1" applyFill="1" applyBorder="1" applyAlignment="1" applyProtection="1">
      <alignment horizontal="center" vertical="top" wrapText="1"/>
      <protection locked="0"/>
    </xf>
    <xf numFmtId="2" fontId="12" fillId="17" borderId="8" xfId="1" applyNumberFormat="1" applyFont="1" applyFill="1" applyBorder="1" applyAlignment="1" applyProtection="1">
      <alignment horizontal="center" vertical="top" wrapText="1"/>
      <protection locked="0"/>
    </xf>
    <xf numFmtId="174" fontId="12" fillId="17" borderId="1" xfId="0" applyNumberFormat="1" applyFont="1" applyFill="1" applyBorder="1" applyProtection="1">
      <protection locked="0"/>
    </xf>
    <xf numFmtId="164" fontId="12" fillId="17" borderId="97" xfId="1" applyNumberFormat="1" applyFont="1" applyFill="1" applyBorder="1" applyAlignment="1" applyProtection="1">
      <alignment horizontal="left" vertical="top" wrapText="1"/>
      <protection locked="0"/>
    </xf>
    <xf numFmtId="164" fontId="12" fillId="17" borderId="71" xfId="1" applyNumberFormat="1" applyFont="1" applyFill="1" applyBorder="1" applyProtection="1">
      <protection locked="0"/>
    </xf>
    <xf numFmtId="164" fontId="12" fillId="17" borderId="69" xfId="1" applyNumberFormat="1" applyFont="1" applyFill="1" applyBorder="1" applyProtection="1">
      <protection locked="0"/>
    </xf>
    <xf numFmtId="164" fontId="12" fillId="17" borderId="98" xfId="1" applyNumberFormat="1" applyFont="1" applyFill="1" applyBorder="1" applyProtection="1">
      <protection locked="0"/>
    </xf>
    <xf numFmtId="164" fontId="12" fillId="17" borderId="107" xfId="1" applyNumberFormat="1" applyFont="1" applyFill="1" applyBorder="1" applyProtection="1">
      <protection locked="0"/>
    </xf>
    <xf numFmtId="164" fontId="12" fillId="17" borderId="97" xfId="1" applyNumberFormat="1" applyFont="1" applyFill="1" applyBorder="1" applyProtection="1">
      <protection locked="0"/>
    </xf>
    <xf numFmtId="164" fontId="12" fillId="17" borderId="3" xfId="1" applyNumberFormat="1" applyFont="1" applyFill="1" applyBorder="1" applyAlignment="1" applyProtection="1">
      <alignment horizontal="center" vertical="top" wrapText="1"/>
      <protection locked="0"/>
    </xf>
    <xf numFmtId="164" fontId="12" fillId="17" borderId="42" xfId="1" applyNumberFormat="1" applyFont="1" applyFill="1" applyBorder="1" applyAlignment="1" applyProtection="1">
      <alignment horizontal="center" vertical="top" wrapText="1"/>
      <protection locked="0"/>
    </xf>
    <xf numFmtId="164" fontId="12" fillId="17" borderId="67" xfId="1" applyNumberFormat="1" applyFont="1" applyFill="1" applyBorder="1" applyAlignment="1" applyProtection="1">
      <alignment horizontal="center" vertical="top" wrapText="1"/>
      <protection locked="0"/>
    </xf>
    <xf numFmtId="164" fontId="12" fillId="17" borderId="1" xfId="1" applyNumberFormat="1" applyFont="1" applyFill="1" applyBorder="1" applyAlignment="1" applyProtection="1">
      <alignment horizontal="center" vertical="top" wrapText="1"/>
      <protection locked="0"/>
    </xf>
    <xf numFmtId="164" fontId="12" fillId="17" borderId="0" xfId="1" applyNumberFormat="1" applyFont="1" applyFill="1" applyBorder="1" applyAlignment="1" applyProtection="1">
      <alignment horizontal="center" vertical="top" wrapText="1"/>
      <protection locked="0"/>
    </xf>
    <xf numFmtId="164" fontId="12" fillId="17" borderId="8" xfId="1" applyNumberFormat="1" applyFont="1" applyFill="1" applyBorder="1" applyAlignment="1" applyProtection="1">
      <alignment horizontal="center" vertical="top" wrapText="1"/>
      <protection locked="0"/>
    </xf>
    <xf numFmtId="164" fontId="12" fillId="17" borderId="98" xfId="1" applyNumberFormat="1" applyFont="1" applyFill="1" applyBorder="1" applyAlignment="1" applyProtection="1">
      <alignment horizontal="left" vertical="top" wrapText="1"/>
      <protection locked="0"/>
    </xf>
    <xf numFmtId="164" fontId="12" fillId="17" borderId="68" xfId="1" applyNumberFormat="1" applyFont="1" applyFill="1" applyBorder="1" applyAlignment="1" applyProtection="1">
      <alignment horizontal="center" vertical="top" wrapText="1"/>
      <protection locked="0"/>
    </xf>
    <xf numFmtId="164" fontId="12" fillId="17" borderId="71" xfId="1" applyNumberFormat="1" applyFont="1" applyFill="1" applyBorder="1" applyAlignment="1" applyProtection="1">
      <alignment horizontal="center" vertical="top" wrapText="1"/>
      <protection locked="0"/>
    </xf>
    <xf numFmtId="164" fontId="12" fillId="17" borderId="69" xfId="1" applyNumberFormat="1" applyFont="1" applyFill="1" applyBorder="1" applyAlignment="1" applyProtection="1">
      <alignment horizontal="center" vertical="top" wrapText="1"/>
      <protection locked="0"/>
    </xf>
    <xf numFmtId="164" fontId="12" fillId="17" borderId="98" xfId="1" applyNumberFormat="1" applyFont="1" applyFill="1" applyBorder="1" applyAlignment="1" applyProtection="1">
      <alignment horizontal="center" vertical="top" wrapText="1"/>
      <protection locked="0"/>
    </xf>
    <xf numFmtId="164" fontId="12" fillId="17" borderId="73" xfId="1" applyNumberFormat="1" applyFont="1" applyFill="1" applyBorder="1" applyAlignment="1" applyProtection="1">
      <alignment horizontal="center" vertical="top" wrapText="1"/>
      <protection locked="0"/>
    </xf>
    <xf numFmtId="164" fontId="12" fillId="17" borderId="72" xfId="1" applyNumberFormat="1" applyFont="1" applyFill="1" applyBorder="1" applyAlignment="1" applyProtection="1">
      <alignment horizontal="center" vertical="top" wrapText="1"/>
      <protection locked="0"/>
    </xf>
    <xf numFmtId="164" fontId="12" fillId="17" borderId="1" xfId="1" applyNumberFormat="1" applyFont="1" applyFill="1" applyBorder="1" applyAlignment="1" applyProtection="1">
      <alignment horizontal="left" vertical="top" wrapText="1"/>
      <protection locked="0"/>
    </xf>
    <xf numFmtId="167" fontId="12" fillId="17" borderId="67" xfId="0" applyNumberFormat="1" applyFont="1" applyFill="1" applyBorder="1" applyAlignment="1" applyProtection="1">
      <alignment horizontal="center" vertical="top" wrapText="1"/>
      <protection locked="0"/>
    </xf>
    <xf numFmtId="167" fontId="12" fillId="17" borderId="1" xfId="0" applyNumberFormat="1" applyFont="1" applyFill="1" applyBorder="1" applyAlignment="1" applyProtection="1">
      <alignment horizontal="center" vertical="top" wrapText="1"/>
      <protection locked="0"/>
    </xf>
    <xf numFmtId="167" fontId="12" fillId="17" borderId="3" xfId="1" applyNumberFormat="1" applyFont="1" applyFill="1" applyBorder="1" applyAlignment="1" applyProtection="1">
      <alignment horizontal="center" vertical="top" wrapText="1"/>
      <protection locked="0"/>
    </xf>
    <xf numFmtId="167" fontId="12" fillId="17" borderId="42" xfId="1" applyNumberFormat="1" applyFont="1" applyFill="1" applyBorder="1" applyAlignment="1" applyProtection="1">
      <alignment horizontal="center" vertical="top" wrapText="1"/>
      <protection locked="0"/>
    </xf>
    <xf numFmtId="167" fontId="12" fillId="17" borderId="67" xfId="1" applyNumberFormat="1" applyFont="1" applyFill="1" applyBorder="1" applyAlignment="1" applyProtection="1">
      <alignment horizontal="center" vertical="top" wrapText="1"/>
      <protection locked="0"/>
    </xf>
    <xf numFmtId="167" fontId="12" fillId="17" borderId="0" xfId="1" applyNumberFormat="1" applyFont="1" applyFill="1" applyBorder="1" applyAlignment="1" applyProtection="1">
      <alignment horizontal="center" vertical="top" wrapText="1"/>
      <protection locked="0"/>
    </xf>
    <xf numFmtId="167" fontId="12" fillId="17" borderId="8" xfId="1" applyNumberFormat="1" applyFont="1" applyFill="1" applyBorder="1" applyAlignment="1" applyProtection="1">
      <alignment horizontal="center" vertical="top" wrapText="1"/>
      <protection locked="0"/>
    </xf>
    <xf numFmtId="0" fontId="17" fillId="17" borderId="0" xfId="0" applyFont="1" applyFill="1" applyProtection="1">
      <protection locked="0"/>
    </xf>
    <xf numFmtId="0" fontId="12" fillId="17" borderId="0" xfId="0" applyNumberFormat="1" applyFont="1" applyFill="1" applyBorder="1" applyAlignment="1" applyProtection="1">
      <alignment horizontal="center"/>
      <protection locked="0"/>
    </xf>
    <xf numFmtId="0" fontId="12" fillId="17" borderId="42" xfId="0" applyNumberFormat="1" applyFont="1" applyFill="1" applyBorder="1" applyAlignment="1" applyProtection="1">
      <alignment horizontal="center"/>
      <protection locked="0"/>
    </xf>
    <xf numFmtId="0" fontId="12" fillId="17" borderId="76" xfId="0" applyNumberFormat="1" applyFont="1" applyFill="1" applyBorder="1" applyAlignment="1" applyProtection="1">
      <alignment horizontal="center"/>
      <protection locked="0"/>
    </xf>
    <xf numFmtId="0" fontId="12" fillId="17" borderId="8" xfId="0" applyNumberFormat="1" applyFont="1" applyFill="1" applyBorder="1" applyAlignment="1" applyProtection="1">
      <alignment horizontal="center"/>
      <protection locked="0"/>
    </xf>
    <xf numFmtId="175" fontId="14" fillId="17" borderId="42" xfId="0" applyNumberFormat="1" applyFont="1" applyFill="1" applyBorder="1" applyAlignment="1" applyProtection="1">
      <protection locked="0"/>
    </xf>
    <xf numFmtId="175" fontId="14" fillId="17" borderId="76" xfId="0" applyNumberFormat="1" applyFont="1" applyFill="1" applyBorder="1" applyAlignment="1" applyProtection="1">
      <protection locked="0"/>
    </xf>
    <xf numFmtId="175" fontId="12" fillId="17" borderId="0" xfId="1" applyNumberFormat="1" applyFont="1" applyFill="1" applyBorder="1" applyAlignment="1" applyProtection="1">
      <protection locked="0"/>
    </xf>
    <xf numFmtId="175" fontId="14" fillId="17" borderId="8" xfId="0" applyNumberFormat="1" applyFont="1" applyFill="1" applyBorder="1" applyAlignment="1" applyProtection="1">
      <protection locked="0"/>
    </xf>
    <xf numFmtId="175" fontId="12" fillId="17" borderId="42" xfId="0" applyNumberFormat="1" applyFont="1" applyFill="1" applyBorder="1" applyAlignment="1" applyProtection="1">
      <protection locked="0"/>
    </xf>
    <xf numFmtId="175" fontId="12" fillId="17" borderId="76" xfId="0" applyNumberFormat="1" applyFont="1" applyFill="1" applyBorder="1" applyAlignment="1" applyProtection="1">
      <protection locked="0"/>
    </xf>
    <xf numFmtId="175" fontId="12" fillId="17" borderId="8" xfId="0" applyNumberFormat="1" applyFont="1" applyFill="1" applyBorder="1" applyAlignment="1" applyProtection="1">
      <protection locked="0"/>
    </xf>
    <xf numFmtId="14" fontId="12" fillId="17" borderId="42" xfId="0" applyNumberFormat="1" applyFont="1" applyFill="1" applyBorder="1" applyAlignment="1" applyProtection="1">
      <alignment horizontal="center"/>
      <protection locked="0"/>
    </xf>
    <xf numFmtId="14" fontId="12" fillId="17" borderId="8" xfId="0" applyNumberFormat="1" applyFont="1" applyFill="1" applyBorder="1" applyAlignment="1" applyProtection="1">
      <alignment horizontal="center"/>
      <protection locked="0"/>
    </xf>
    <xf numFmtId="14" fontId="12" fillId="17" borderId="3" xfId="0" applyNumberFormat="1" applyFont="1" applyFill="1" applyBorder="1" applyAlignment="1" applyProtection="1">
      <alignment horizontal="center"/>
      <protection locked="0"/>
    </xf>
    <xf numFmtId="0" fontId="14" fillId="17" borderId="42" xfId="0" applyNumberFormat="1" applyFont="1" applyFill="1" applyBorder="1" applyAlignment="1" applyProtection="1">
      <alignment horizontal="center"/>
      <protection locked="0"/>
    </xf>
    <xf numFmtId="0" fontId="14" fillId="17" borderId="8" xfId="0" applyNumberFormat="1" applyFont="1" applyFill="1" applyBorder="1" applyAlignment="1" applyProtection="1">
      <alignment horizontal="center"/>
      <protection locked="0"/>
    </xf>
    <xf numFmtId="0" fontId="14" fillId="17" borderId="3" xfId="0" applyNumberFormat="1" applyFont="1" applyFill="1" applyBorder="1" applyAlignment="1" applyProtection="1">
      <alignment horizontal="center"/>
      <protection locked="0"/>
    </xf>
    <xf numFmtId="0" fontId="12" fillId="17" borderId="3" xfId="0" applyNumberFormat="1" applyFont="1" applyFill="1" applyBorder="1" applyAlignment="1" applyProtection="1">
      <alignment horizontal="center"/>
      <protection locked="0"/>
    </xf>
    <xf numFmtId="175" fontId="14" fillId="17" borderId="42" xfId="1" applyNumberFormat="1" applyFont="1" applyFill="1" applyBorder="1" applyAlignment="1" applyProtection="1">
      <protection locked="0"/>
    </xf>
    <xf numFmtId="175" fontId="14" fillId="17" borderId="8" xfId="1" applyNumberFormat="1" applyFont="1" applyFill="1" applyBorder="1" applyAlignment="1" applyProtection="1">
      <protection locked="0"/>
    </xf>
    <xf numFmtId="175" fontId="12" fillId="17" borderId="3" xfId="1" applyNumberFormat="1" applyFont="1" applyFill="1" applyBorder="1" applyAlignment="1" applyProtection="1">
      <protection locked="0"/>
    </xf>
    <xf numFmtId="175" fontId="12" fillId="17" borderId="42" xfId="1" applyNumberFormat="1" applyFont="1" applyFill="1" applyBorder="1" applyAlignment="1" applyProtection="1">
      <protection locked="0"/>
    </xf>
    <xf numFmtId="175" fontId="12" fillId="17" borderId="8" xfId="1" applyNumberFormat="1" applyFont="1" applyFill="1" applyBorder="1" applyAlignment="1" applyProtection="1">
      <protection locked="0"/>
    </xf>
    <xf numFmtId="173" fontId="12" fillId="17" borderId="42" xfId="1" applyNumberFormat="1" applyFont="1" applyFill="1" applyBorder="1" applyProtection="1">
      <protection locked="0"/>
    </xf>
    <xf numFmtId="173" fontId="12" fillId="17" borderId="8" xfId="1" applyNumberFormat="1" applyFont="1" applyFill="1" applyBorder="1" applyProtection="1">
      <protection locked="0"/>
    </xf>
    <xf numFmtId="173" fontId="12" fillId="17" borderId="3" xfId="1" applyNumberFormat="1" applyFont="1" applyFill="1" applyBorder="1" applyProtection="1">
      <protection locked="0"/>
    </xf>
    <xf numFmtId="175" fontId="12" fillId="17" borderId="76" xfId="1" applyNumberFormat="1" applyFont="1" applyFill="1" applyBorder="1" applyAlignment="1" applyProtection="1">
      <protection locked="0"/>
    </xf>
    <xf numFmtId="173" fontId="12" fillId="17" borderId="76" xfId="1" applyNumberFormat="1" applyFont="1" applyFill="1" applyBorder="1" applyProtection="1">
      <protection locked="0"/>
    </xf>
    <xf numFmtId="173" fontId="12" fillId="17" borderId="0" xfId="1" applyNumberFormat="1" applyFont="1" applyFill="1" applyBorder="1" applyProtection="1">
      <protection locked="0"/>
    </xf>
    <xf numFmtId="173" fontId="12" fillId="17" borderId="42" xfId="0" applyNumberFormat="1" applyFont="1" applyFill="1" applyBorder="1" applyProtection="1">
      <protection locked="0"/>
    </xf>
    <xf numFmtId="173" fontId="12" fillId="17" borderId="8" xfId="0" applyNumberFormat="1" applyFont="1" applyFill="1" applyBorder="1" applyProtection="1">
      <protection locked="0"/>
    </xf>
    <xf numFmtId="173" fontId="12" fillId="17" borderId="3" xfId="0" applyNumberFormat="1" applyFont="1" applyFill="1" applyBorder="1" applyProtection="1">
      <protection locked="0"/>
    </xf>
    <xf numFmtId="173" fontId="12" fillId="17" borderId="76" xfId="0" applyNumberFormat="1" applyFont="1" applyFill="1" applyBorder="1" applyProtection="1">
      <protection locked="0"/>
    </xf>
    <xf numFmtId="173" fontId="12" fillId="17" borderId="0" xfId="0" applyNumberFormat="1" applyFont="1" applyFill="1" applyBorder="1" applyProtection="1">
      <protection locked="0"/>
    </xf>
    <xf numFmtId="173" fontId="14" fillId="17" borderId="42" xfId="0" applyNumberFormat="1" applyFont="1" applyFill="1" applyBorder="1" applyProtection="1">
      <protection locked="0"/>
    </xf>
    <xf numFmtId="173" fontId="14" fillId="17" borderId="8" xfId="0" applyNumberFormat="1" applyFont="1" applyFill="1" applyBorder="1" applyProtection="1">
      <protection locked="0"/>
    </xf>
    <xf numFmtId="43" fontId="12" fillId="17" borderId="42" xfId="1" applyFont="1" applyFill="1" applyBorder="1" applyProtection="1">
      <protection locked="0"/>
    </xf>
    <xf numFmtId="43" fontId="12" fillId="17" borderId="8" xfId="1" applyFont="1" applyFill="1" applyBorder="1" applyProtection="1">
      <protection locked="0"/>
    </xf>
    <xf numFmtId="43" fontId="12" fillId="17" borderId="3" xfId="1" applyFont="1" applyFill="1" applyBorder="1" applyProtection="1">
      <protection locked="0"/>
    </xf>
    <xf numFmtId="43" fontId="12" fillId="17" borderId="76" xfId="1" applyFont="1" applyFill="1" applyBorder="1" applyProtection="1">
      <protection locked="0"/>
    </xf>
    <xf numFmtId="43" fontId="12" fillId="17" borderId="0" xfId="1" applyFont="1" applyFill="1" applyBorder="1" applyProtection="1">
      <protection locked="0"/>
    </xf>
    <xf numFmtId="0" fontId="12" fillId="17" borderId="0" xfId="1" applyNumberFormat="1" applyFont="1" applyFill="1" applyBorder="1" applyAlignment="1" applyProtection="1">
      <alignment horizontal="center"/>
      <protection locked="0"/>
    </xf>
    <xf numFmtId="0" fontId="12" fillId="17" borderId="8" xfId="1" applyNumberFormat="1" applyFont="1" applyFill="1" applyBorder="1" applyAlignment="1" applyProtection="1">
      <alignment horizontal="center"/>
      <protection locked="0"/>
    </xf>
    <xf numFmtId="0" fontId="12" fillId="17" borderId="3" xfId="1" applyNumberFormat="1" applyFont="1" applyFill="1" applyBorder="1" applyAlignment="1" applyProtection="1">
      <alignment horizontal="center"/>
      <protection locked="0"/>
    </xf>
    <xf numFmtId="170" fontId="12" fillId="17" borderId="42" xfId="0" applyNumberFormat="1" applyFont="1" applyFill="1" applyBorder="1" applyAlignment="1" applyProtection="1">
      <alignment horizontal="center"/>
      <protection locked="0"/>
    </xf>
    <xf numFmtId="170" fontId="12" fillId="17" borderId="8" xfId="0" applyNumberFormat="1" applyFont="1" applyFill="1" applyBorder="1" applyAlignment="1" applyProtection="1">
      <alignment horizontal="center"/>
      <protection locked="0"/>
    </xf>
    <xf numFmtId="170" fontId="12" fillId="17" borderId="3" xfId="0" applyNumberFormat="1" applyFont="1" applyFill="1" applyBorder="1" applyAlignment="1" applyProtection="1">
      <alignment horizontal="center"/>
      <protection locked="0"/>
    </xf>
    <xf numFmtId="170" fontId="12" fillId="17" borderId="0" xfId="0" applyNumberFormat="1" applyFont="1" applyFill="1" applyBorder="1" applyAlignment="1" applyProtection="1">
      <alignment horizontal="center"/>
      <protection locked="0"/>
    </xf>
    <xf numFmtId="170" fontId="12" fillId="17" borderId="42" xfId="6" applyNumberFormat="1" applyFont="1" applyFill="1" applyBorder="1" applyAlignment="1" applyProtection="1">
      <alignment horizontal="center"/>
      <protection locked="0"/>
    </xf>
    <xf numFmtId="170" fontId="12" fillId="17" borderId="8" xfId="6" applyNumberFormat="1" applyFont="1" applyFill="1" applyBorder="1" applyAlignment="1" applyProtection="1">
      <alignment horizontal="center"/>
      <protection locked="0"/>
    </xf>
    <xf numFmtId="170" fontId="12" fillId="17" borderId="3" xfId="6" applyNumberFormat="1" applyFont="1" applyFill="1" applyBorder="1" applyAlignment="1" applyProtection="1">
      <alignment horizontal="center"/>
      <protection locked="0"/>
    </xf>
    <xf numFmtId="170" fontId="12" fillId="17" borderId="76" xfId="6" applyNumberFormat="1" applyFont="1" applyFill="1" applyBorder="1" applyAlignment="1" applyProtection="1">
      <alignment horizontal="center"/>
      <protection locked="0"/>
    </xf>
    <xf numFmtId="170" fontId="12" fillId="17" borderId="0" xfId="6" applyNumberFormat="1" applyFont="1" applyFill="1" applyBorder="1" applyAlignment="1" applyProtection="1">
      <alignment horizontal="center"/>
      <protection locked="0"/>
    </xf>
    <xf numFmtId="174" fontId="12" fillId="17" borderId="42" xfId="6" applyNumberFormat="1" applyFont="1" applyFill="1" applyBorder="1" applyAlignment="1" applyProtection="1">
      <alignment horizontal="center"/>
      <protection locked="0"/>
    </xf>
    <xf numFmtId="174" fontId="12" fillId="17" borderId="8" xfId="6" applyNumberFormat="1" applyFont="1" applyFill="1" applyBorder="1" applyAlignment="1" applyProtection="1">
      <alignment horizontal="center"/>
      <protection locked="0"/>
    </xf>
    <xf numFmtId="174" fontId="12" fillId="17" borderId="3" xfId="6" applyNumberFormat="1" applyFont="1" applyFill="1" applyBorder="1" applyAlignment="1" applyProtection="1">
      <alignment horizontal="center"/>
      <protection locked="0"/>
    </xf>
    <xf numFmtId="174" fontId="12" fillId="17" borderId="76" xfId="6" applyNumberFormat="1" applyFont="1" applyFill="1" applyBorder="1" applyAlignment="1" applyProtection="1">
      <alignment horizontal="center"/>
      <protection locked="0"/>
    </xf>
    <xf numFmtId="174" fontId="12" fillId="17" borderId="0" xfId="6" applyNumberFormat="1" applyFont="1" applyFill="1" applyBorder="1" applyAlignment="1" applyProtection="1">
      <alignment horizontal="center"/>
      <protection locked="0"/>
    </xf>
    <xf numFmtId="174" fontId="12" fillId="17" borderId="46" xfId="6" applyNumberFormat="1" applyFont="1" applyFill="1" applyBorder="1" applyAlignment="1" applyProtection="1">
      <alignment horizontal="center"/>
      <protection locked="0"/>
    </xf>
    <xf numFmtId="174" fontId="12" fillId="17" borderId="49" xfId="6" applyNumberFormat="1" applyFont="1" applyFill="1" applyBorder="1" applyAlignment="1" applyProtection="1">
      <alignment horizontal="center"/>
      <protection locked="0"/>
    </xf>
    <xf numFmtId="174" fontId="12" fillId="17" borderId="50" xfId="6" applyNumberFormat="1" applyFont="1" applyFill="1" applyBorder="1" applyAlignment="1" applyProtection="1">
      <alignment horizontal="center"/>
      <protection locked="0"/>
    </xf>
    <xf numFmtId="174" fontId="12" fillId="17" borderId="79" xfId="6" applyNumberFormat="1" applyFont="1" applyFill="1" applyBorder="1" applyAlignment="1" applyProtection="1">
      <alignment horizontal="center"/>
      <protection locked="0"/>
    </xf>
    <xf numFmtId="174" fontId="12" fillId="17" borderId="48" xfId="6" applyNumberFormat="1" applyFont="1" applyFill="1" applyBorder="1" applyAlignment="1" applyProtection="1">
      <alignment horizontal="center"/>
      <protection locked="0"/>
    </xf>
    <xf numFmtId="174" fontId="12" fillId="17" borderId="49" xfId="0" applyNumberFormat="1" applyFont="1" applyFill="1" applyBorder="1" applyProtection="1">
      <protection locked="0"/>
    </xf>
    <xf numFmtId="174" fontId="12" fillId="17" borderId="71" xfId="6" applyNumberFormat="1" applyFont="1" applyFill="1" applyBorder="1" applyAlignment="1" applyProtection="1">
      <alignment horizontal="center"/>
      <protection locked="0"/>
    </xf>
    <xf numFmtId="174" fontId="12" fillId="17" borderId="72" xfId="6" applyNumberFormat="1" applyFont="1" applyFill="1" applyBorder="1" applyAlignment="1" applyProtection="1">
      <alignment horizontal="center"/>
      <protection locked="0"/>
    </xf>
    <xf numFmtId="174" fontId="12" fillId="17" borderId="68" xfId="6" applyNumberFormat="1" applyFont="1" applyFill="1" applyBorder="1" applyAlignment="1" applyProtection="1">
      <alignment horizontal="center"/>
      <protection locked="0"/>
    </xf>
    <xf numFmtId="174" fontId="12" fillId="17" borderId="97" xfId="6" applyNumberFormat="1" applyFont="1" applyFill="1" applyBorder="1" applyAlignment="1" applyProtection="1">
      <alignment horizontal="center"/>
      <protection locked="0"/>
    </xf>
    <xf numFmtId="174" fontId="12" fillId="17" borderId="73" xfId="6" applyNumberFormat="1" applyFont="1" applyFill="1" applyBorder="1" applyAlignment="1" applyProtection="1">
      <alignment horizontal="center"/>
      <protection locked="0"/>
    </xf>
    <xf numFmtId="175" fontId="12" fillId="17" borderId="76" xfId="1" applyNumberFormat="1" applyFont="1" applyFill="1" applyBorder="1" applyProtection="1">
      <protection locked="0"/>
    </xf>
    <xf numFmtId="175" fontId="12" fillId="17" borderId="76" xfId="0" applyNumberFormat="1" applyFont="1" applyFill="1" applyBorder="1" applyProtection="1">
      <protection locked="0"/>
    </xf>
    <xf numFmtId="0" fontId="12" fillId="17" borderId="42" xfId="1" applyNumberFormat="1" applyFont="1" applyFill="1" applyBorder="1" applyAlignment="1" applyProtection="1">
      <alignment horizontal="center"/>
      <protection locked="0"/>
    </xf>
    <xf numFmtId="0" fontId="12" fillId="17" borderId="76" xfId="1" applyNumberFormat="1" applyFont="1" applyFill="1" applyBorder="1" applyAlignment="1" applyProtection="1">
      <alignment horizontal="center"/>
      <protection locked="0"/>
    </xf>
    <xf numFmtId="173" fontId="14" fillId="17" borderId="76" xfId="0" applyNumberFormat="1" applyFont="1" applyFill="1" applyBorder="1" applyProtection="1">
      <protection locked="0"/>
    </xf>
    <xf numFmtId="177" fontId="12" fillId="17" borderId="42" xfId="1" applyNumberFormat="1" applyFont="1" applyFill="1" applyBorder="1" applyProtection="1">
      <protection locked="0"/>
    </xf>
    <xf numFmtId="177" fontId="12" fillId="17" borderId="76" xfId="1" applyNumberFormat="1" applyFont="1" applyFill="1" applyBorder="1" applyProtection="1">
      <protection locked="0"/>
    </xf>
    <xf numFmtId="174" fontId="12" fillId="17" borderId="46" xfId="1" applyNumberFormat="1" applyFont="1" applyFill="1" applyBorder="1" applyProtection="1">
      <protection locked="0"/>
    </xf>
    <xf numFmtId="174" fontId="12" fillId="17" borderId="79" xfId="1" applyNumberFormat="1" applyFont="1" applyFill="1" applyBorder="1" applyProtection="1">
      <protection locked="0"/>
    </xf>
    <xf numFmtId="178" fontId="12" fillId="17" borderId="42" xfId="1" applyNumberFormat="1" applyFont="1" applyFill="1" applyBorder="1" applyAlignment="1" applyProtection="1">
      <alignment vertical="top" wrapText="1"/>
      <protection locked="0"/>
    </xf>
    <xf numFmtId="178" fontId="12" fillId="17" borderId="8" xfId="1" applyNumberFormat="1" applyFont="1" applyFill="1" applyBorder="1" applyAlignment="1" applyProtection="1">
      <alignment vertical="top" wrapText="1"/>
      <protection locked="0"/>
    </xf>
    <xf numFmtId="178" fontId="12" fillId="17" borderId="3" xfId="1" applyNumberFormat="1" applyFont="1" applyFill="1" applyBorder="1" applyAlignment="1" applyProtection="1">
      <alignment vertical="top" wrapText="1"/>
      <protection locked="0"/>
    </xf>
    <xf numFmtId="178" fontId="12" fillId="17" borderId="0" xfId="1" applyNumberFormat="1" applyFont="1" applyFill="1" applyBorder="1" applyAlignment="1" applyProtection="1">
      <alignment vertical="top" wrapText="1"/>
      <protection locked="0"/>
    </xf>
    <xf numFmtId="179" fontId="12" fillId="17" borderId="1" xfId="6" applyNumberFormat="1" applyFont="1" applyFill="1" applyBorder="1" applyAlignment="1" applyProtection="1">
      <alignment vertical="top" wrapText="1"/>
      <protection locked="0"/>
    </xf>
    <xf numFmtId="174" fontId="12" fillId="17" borderId="42" xfId="0" applyNumberFormat="1" applyFont="1" applyFill="1" applyBorder="1" applyAlignment="1" applyProtection="1">
      <protection locked="0"/>
    </xf>
    <xf numFmtId="174" fontId="12" fillId="17" borderId="8" xfId="0" applyNumberFormat="1" applyFont="1" applyFill="1" applyBorder="1" applyAlignment="1" applyProtection="1">
      <protection locked="0"/>
    </xf>
    <xf numFmtId="174" fontId="12" fillId="17" borderId="3" xfId="0" applyNumberFormat="1" applyFont="1" applyFill="1" applyBorder="1" applyAlignment="1" applyProtection="1">
      <protection locked="0"/>
    </xf>
    <xf numFmtId="174" fontId="12" fillId="17" borderId="0" xfId="0" applyNumberFormat="1" applyFont="1" applyFill="1" applyBorder="1" applyAlignment="1" applyProtection="1">
      <protection locked="0"/>
    </xf>
    <xf numFmtId="174" fontId="12" fillId="17" borderId="47" xfId="0" applyNumberFormat="1" applyFont="1" applyFill="1" applyBorder="1" applyAlignment="1" applyProtection="1">
      <protection locked="0"/>
    </xf>
    <xf numFmtId="0" fontId="12" fillId="17" borderId="3" xfId="0" applyNumberFormat="1" applyFont="1" applyFill="1" applyBorder="1" applyAlignment="1" applyProtection="1">
      <alignment horizontal="left" indent="1"/>
      <protection locked="0"/>
    </xf>
    <xf numFmtId="0" fontId="12" fillId="17" borderId="67" xfId="0" applyNumberFormat="1" applyFont="1" applyFill="1" applyBorder="1" applyAlignment="1" applyProtection="1">
      <alignment horizontal="center"/>
      <protection locked="0"/>
    </xf>
    <xf numFmtId="180" fontId="12" fillId="17" borderId="76" xfId="0" applyNumberFormat="1" applyFont="1" applyFill="1" applyBorder="1" applyAlignment="1" applyProtection="1">
      <alignment horizontal="center"/>
      <protection locked="0"/>
    </xf>
    <xf numFmtId="0" fontId="12" fillId="17" borderId="3" xfId="0" applyNumberFormat="1" applyFont="1" applyFill="1" applyBorder="1" applyAlignment="1" applyProtection="1">
      <alignment horizontal="left" indent="2"/>
      <protection locked="0"/>
    </xf>
    <xf numFmtId="174" fontId="12" fillId="17" borderId="46" xfId="0" applyNumberFormat="1" applyFont="1" applyFill="1" applyBorder="1" applyAlignment="1" applyProtection="1">
      <protection locked="0"/>
    </xf>
    <xf numFmtId="174" fontId="12" fillId="17" borderId="49" xfId="0" applyNumberFormat="1" applyFont="1" applyFill="1" applyBorder="1" applyAlignment="1" applyProtection="1">
      <protection locked="0"/>
    </xf>
    <xf numFmtId="174" fontId="12" fillId="17" borderId="50" xfId="0" applyNumberFormat="1" applyFont="1" applyFill="1" applyBorder="1" applyAlignment="1" applyProtection="1">
      <protection locked="0"/>
    </xf>
    <xf numFmtId="174" fontId="12" fillId="17" borderId="48" xfId="0" applyNumberFormat="1" applyFont="1" applyFill="1" applyBorder="1" applyAlignment="1" applyProtection="1">
      <protection locked="0"/>
    </xf>
    <xf numFmtId="174" fontId="12" fillId="17" borderId="51" xfId="0" applyNumberFormat="1" applyFont="1" applyFill="1" applyBorder="1" applyAlignment="1" applyProtection="1">
      <protection locked="0"/>
    </xf>
    <xf numFmtId="174" fontId="12" fillId="17" borderId="71" xfId="0" applyNumberFormat="1" applyFont="1" applyFill="1" applyBorder="1" applyAlignment="1" applyProtection="1">
      <protection locked="0"/>
    </xf>
    <xf numFmtId="174" fontId="12" fillId="17" borderId="72" xfId="0" applyNumberFormat="1" applyFont="1" applyFill="1" applyBorder="1" applyAlignment="1" applyProtection="1">
      <protection locked="0"/>
    </xf>
    <xf numFmtId="174" fontId="12" fillId="17" borderId="68" xfId="0" applyNumberFormat="1" applyFont="1" applyFill="1" applyBorder="1" applyAlignment="1" applyProtection="1">
      <protection locked="0"/>
    </xf>
    <xf numFmtId="174" fontId="12" fillId="17" borderId="73" xfId="0" applyNumberFormat="1" applyFont="1" applyFill="1" applyBorder="1" applyAlignment="1" applyProtection="1">
      <protection locked="0"/>
    </xf>
    <xf numFmtId="174" fontId="12" fillId="17" borderId="70" xfId="0" applyNumberFormat="1" applyFont="1" applyFill="1" applyBorder="1" applyAlignment="1" applyProtection="1">
      <protection locked="0"/>
    </xf>
    <xf numFmtId="0" fontId="17" fillId="17" borderId="3" xfId="0" applyNumberFormat="1" applyFont="1" applyFill="1" applyBorder="1" applyAlignment="1" applyProtection="1">
      <alignment horizontal="left" indent="2"/>
      <protection locked="0"/>
    </xf>
    <xf numFmtId="0" fontId="12" fillId="17" borderId="3" xfId="0" applyNumberFormat="1" applyFont="1" applyFill="1" applyBorder="1" applyAlignment="1" applyProtection="1">
      <alignment horizontal="left" wrapText="1" indent="2"/>
      <protection locked="0"/>
    </xf>
    <xf numFmtId="174" fontId="12" fillId="17" borderId="60" xfId="0" applyNumberFormat="1" applyFont="1" applyFill="1" applyBorder="1" applyAlignment="1" applyProtection="1">
      <protection locked="0"/>
    </xf>
    <xf numFmtId="174" fontId="12" fillId="17" borderId="61" xfId="0" applyNumberFormat="1" applyFont="1" applyFill="1" applyBorder="1" applyAlignment="1" applyProtection="1">
      <protection locked="0"/>
    </xf>
    <xf numFmtId="174" fontId="12" fillId="17" borderId="62" xfId="0" applyNumberFormat="1" applyFont="1" applyFill="1" applyBorder="1" applyAlignment="1" applyProtection="1">
      <protection locked="0"/>
    </xf>
    <xf numFmtId="174" fontId="12" fillId="17" borderId="59" xfId="0" applyNumberFormat="1" applyFont="1" applyFill="1" applyBorder="1" applyAlignment="1" applyProtection="1">
      <protection locked="0"/>
    </xf>
    <xf numFmtId="174" fontId="12" fillId="17" borderId="63" xfId="0" applyNumberFormat="1" applyFont="1" applyFill="1" applyBorder="1" applyAlignment="1" applyProtection="1">
      <protection locked="0"/>
    </xf>
    <xf numFmtId="174" fontId="12" fillId="17" borderId="42" xfId="1" applyNumberFormat="1" applyFont="1" applyFill="1" applyBorder="1" applyAlignment="1" applyProtection="1">
      <protection locked="0"/>
    </xf>
    <xf numFmtId="174" fontId="12" fillId="17" borderId="0" xfId="1" applyNumberFormat="1" applyFont="1" applyFill="1" applyBorder="1" applyAlignment="1" applyProtection="1">
      <protection locked="0"/>
    </xf>
    <xf numFmtId="174" fontId="12" fillId="17" borderId="3" xfId="1" applyNumberFormat="1" applyFont="1" applyFill="1" applyBorder="1" applyAlignment="1" applyProtection="1">
      <protection locked="0"/>
    </xf>
    <xf numFmtId="174" fontId="12" fillId="17" borderId="47" xfId="1" applyNumberFormat="1" applyFont="1" applyFill="1" applyBorder="1" applyAlignment="1" applyProtection="1">
      <protection locked="0"/>
    </xf>
    <xf numFmtId="174" fontId="12" fillId="17" borderId="8" xfId="1" applyNumberFormat="1" applyFont="1" applyFill="1" applyBorder="1" applyAlignment="1" applyProtection="1">
      <protection locked="0"/>
    </xf>
    <xf numFmtId="0" fontId="17" fillId="17" borderId="3" xfId="0" applyNumberFormat="1" applyFont="1" applyFill="1" applyBorder="1" applyAlignment="1" applyProtection="1">
      <alignment horizontal="left" indent="1"/>
      <protection locked="0"/>
    </xf>
    <xf numFmtId="0" fontId="14" fillId="17" borderId="3" xfId="0" applyNumberFormat="1" applyFont="1" applyFill="1" applyBorder="1" applyAlignment="1" applyProtection="1">
      <alignment horizontal="left" indent="1"/>
      <protection locked="0"/>
    </xf>
    <xf numFmtId="175" fontId="12" fillId="17" borderId="42" xfId="1" applyNumberFormat="1" applyFont="1" applyFill="1" applyBorder="1" applyAlignment="1" applyProtection="1">
      <alignment horizontal="center"/>
      <protection locked="0"/>
    </xf>
    <xf numFmtId="175" fontId="14" fillId="17" borderId="42" xfId="1" applyNumberFormat="1" applyFont="1" applyFill="1" applyBorder="1" applyProtection="1">
      <protection locked="0"/>
    </xf>
    <xf numFmtId="175" fontId="14" fillId="17" borderId="42" xfId="1" applyNumberFormat="1" applyFont="1" applyFill="1" applyBorder="1" applyAlignment="1" applyProtection="1">
      <alignment horizontal="center"/>
      <protection locked="0"/>
    </xf>
    <xf numFmtId="175" fontId="14" fillId="17" borderId="8" xfId="1" applyNumberFormat="1" applyFont="1" applyFill="1" applyBorder="1" applyAlignment="1" applyProtection="1">
      <alignment horizontal="center"/>
      <protection locked="0"/>
    </xf>
    <xf numFmtId="175" fontId="14" fillId="17" borderId="3" xfId="6" applyNumberFormat="1" applyFont="1" applyFill="1" applyBorder="1" applyAlignment="1" applyProtection="1">
      <alignment horizontal="center"/>
      <protection locked="0"/>
    </xf>
    <xf numFmtId="175" fontId="14" fillId="17" borderId="42" xfId="6" applyNumberFormat="1" applyFont="1" applyFill="1" applyBorder="1" applyAlignment="1" applyProtection="1">
      <alignment horizontal="center"/>
      <protection locked="0"/>
    </xf>
    <xf numFmtId="175" fontId="14" fillId="17" borderId="76" xfId="6" applyNumberFormat="1" applyFont="1" applyFill="1" applyBorder="1" applyAlignment="1" applyProtection="1">
      <alignment horizontal="center"/>
      <protection locked="0"/>
    </xf>
    <xf numFmtId="175" fontId="14" fillId="17" borderId="0" xfId="6" applyNumberFormat="1" applyFont="1" applyFill="1" applyBorder="1" applyAlignment="1" applyProtection="1">
      <alignment horizontal="center"/>
      <protection locked="0"/>
    </xf>
    <xf numFmtId="175" fontId="14" fillId="17" borderId="8" xfId="6" applyNumberFormat="1" applyFont="1" applyFill="1" applyBorder="1" applyAlignment="1" applyProtection="1">
      <alignment horizontal="center"/>
      <protection locked="0"/>
    </xf>
    <xf numFmtId="175" fontId="14" fillId="17" borderId="36" xfId="1" applyNumberFormat="1" applyFont="1" applyFill="1" applyBorder="1" applyProtection="1">
      <protection locked="0"/>
    </xf>
    <xf numFmtId="175" fontId="14" fillId="17" borderId="36" xfId="1" applyNumberFormat="1" applyFont="1" applyFill="1" applyBorder="1" applyAlignment="1" applyProtection="1">
      <alignment horizontal="center"/>
      <protection locked="0"/>
    </xf>
    <xf numFmtId="175" fontId="14" fillId="17" borderId="10" xfId="1" applyNumberFormat="1" applyFont="1" applyFill="1" applyBorder="1" applyAlignment="1" applyProtection="1">
      <alignment horizontal="center"/>
      <protection locked="0"/>
    </xf>
    <xf numFmtId="175" fontId="14" fillId="17" borderId="4" xfId="6" applyNumberFormat="1" applyFont="1" applyFill="1" applyBorder="1" applyAlignment="1" applyProtection="1">
      <alignment horizontal="center"/>
      <protection locked="0"/>
    </xf>
    <xf numFmtId="175" fontId="14" fillId="17" borderId="36" xfId="6" applyNumberFormat="1" applyFont="1" applyFill="1" applyBorder="1" applyAlignment="1" applyProtection="1">
      <alignment horizontal="center"/>
      <protection locked="0"/>
    </xf>
    <xf numFmtId="175" fontId="14" fillId="17" borderId="77" xfId="6" applyNumberFormat="1" applyFont="1" applyFill="1" applyBorder="1" applyAlignment="1" applyProtection="1">
      <alignment horizontal="center"/>
      <protection locked="0"/>
    </xf>
    <xf numFmtId="175" fontId="14" fillId="17" borderId="9" xfId="6" applyNumberFormat="1" applyFont="1" applyFill="1" applyBorder="1" applyAlignment="1" applyProtection="1">
      <alignment horizontal="center"/>
      <protection locked="0"/>
    </xf>
    <xf numFmtId="175" fontId="14" fillId="17" borderId="10" xfId="6" applyNumberFormat="1" applyFont="1" applyFill="1" applyBorder="1" applyAlignment="1" applyProtection="1">
      <alignment horizontal="center"/>
      <protection locked="0"/>
    </xf>
    <xf numFmtId="174" fontId="12" fillId="17" borderId="50" xfId="0" applyNumberFormat="1" applyFont="1" applyFill="1" applyBorder="1" applyProtection="1">
      <protection locked="0"/>
    </xf>
    <xf numFmtId="173" fontId="12" fillId="17" borderId="47" xfId="0" applyNumberFormat="1" applyFont="1" applyFill="1" applyBorder="1" applyProtection="1">
      <protection locked="0"/>
    </xf>
    <xf numFmtId="173" fontId="14" fillId="17" borderId="70" xfId="0" applyNumberFormat="1" applyFont="1" applyFill="1" applyBorder="1" applyProtection="1">
      <protection locked="0"/>
    </xf>
    <xf numFmtId="173" fontId="14" fillId="17" borderId="71" xfId="0" applyNumberFormat="1" applyFont="1" applyFill="1" applyBorder="1" applyProtection="1">
      <protection locked="0"/>
    </xf>
    <xf numFmtId="173" fontId="14" fillId="17" borderId="72" xfId="0" applyNumberFormat="1" applyFont="1" applyFill="1" applyBorder="1" applyProtection="1">
      <protection locked="0"/>
    </xf>
    <xf numFmtId="173" fontId="14" fillId="17" borderId="68" xfId="0" applyNumberFormat="1" applyFont="1" applyFill="1" applyBorder="1" applyProtection="1">
      <protection locked="0"/>
    </xf>
    <xf numFmtId="173" fontId="14" fillId="17" borderId="73" xfId="0" applyNumberFormat="1" applyFont="1" applyFill="1" applyBorder="1" applyProtection="1">
      <protection locked="0"/>
    </xf>
    <xf numFmtId="0" fontId="12" fillId="17" borderId="3" xfId="0" applyNumberFormat="1" applyFont="1" applyFill="1" applyBorder="1" applyAlignment="1" applyProtection="1">
      <protection locked="0"/>
    </xf>
    <xf numFmtId="0" fontId="12" fillId="17" borderId="42" xfId="0" applyNumberFormat="1" applyFont="1" applyFill="1" applyBorder="1" applyAlignment="1" applyProtection="1">
      <protection locked="0"/>
    </xf>
    <xf numFmtId="180" fontId="12" fillId="17" borderId="42" xfId="0" applyNumberFormat="1" applyFont="1" applyFill="1" applyBorder="1" applyAlignment="1" applyProtection="1">
      <alignment horizontal="center"/>
      <protection locked="0"/>
    </xf>
    <xf numFmtId="180" fontId="12" fillId="17" borderId="42" xfId="0" quotePrefix="1" applyNumberFormat="1" applyFont="1" applyFill="1" applyBorder="1" applyAlignment="1" applyProtection="1">
      <alignment horizontal="center"/>
      <protection locked="0"/>
    </xf>
    <xf numFmtId="0" fontId="14" fillId="17" borderId="4" xfId="0" applyNumberFormat="1" applyFont="1" applyFill="1" applyBorder="1" applyAlignment="1" applyProtection="1">
      <protection locked="0"/>
    </xf>
    <xf numFmtId="0" fontId="12" fillId="17" borderId="36" xfId="0" applyNumberFormat="1" applyFont="1" applyFill="1" applyBorder="1" applyAlignment="1" applyProtection="1">
      <alignment horizontal="center"/>
      <protection locked="0"/>
    </xf>
    <xf numFmtId="0" fontId="12" fillId="17" borderId="36" xfId="0" applyNumberFormat="1" applyFont="1" applyFill="1" applyBorder="1" applyAlignment="1" applyProtection="1">
      <protection locked="0"/>
    </xf>
    <xf numFmtId="0" fontId="12" fillId="17" borderId="36" xfId="0" applyFont="1" applyFill="1" applyBorder="1" applyAlignment="1" applyProtection="1">
      <alignment horizontal="center"/>
      <protection locked="0"/>
    </xf>
    <xf numFmtId="174" fontId="14" fillId="17" borderId="10" xfId="0" applyNumberFormat="1" applyFont="1" applyFill="1" applyBorder="1" applyProtection="1">
      <protection locked="0"/>
    </xf>
    <xf numFmtId="174" fontId="14" fillId="17" borderId="42" xfId="0" applyNumberFormat="1" applyFont="1" applyFill="1" applyBorder="1" applyAlignment="1" applyProtection="1">
      <alignment horizontal="center"/>
      <protection locked="0"/>
    </xf>
    <xf numFmtId="174" fontId="14" fillId="17" borderId="0" xfId="0" applyNumberFormat="1" applyFont="1" applyFill="1" applyBorder="1" applyAlignment="1" applyProtection="1">
      <alignment horizontal="center"/>
      <protection locked="0"/>
    </xf>
    <xf numFmtId="174" fontId="14" fillId="17" borderId="3" xfId="0" applyNumberFormat="1" applyFont="1" applyFill="1" applyBorder="1" applyAlignment="1" applyProtection="1">
      <alignment horizontal="center"/>
      <protection locked="0"/>
    </xf>
    <xf numFmtId="174" fontId="14" fillId="17" borderId="8" xfId="0" applyNumberFormat="1" applyFont="1" applyFill="1" applyBorder="1" applyAlignment="1" applyProtection="1">
      <alignment horizontal="center"/>
      <protection locked="0"/>
    </xf>
    <xf numFmtId="174" fontId="12" fillId="17" borderId="48" xfId="0" applyNumberFormat="1" applyFont="1" applyFill="1" applyBorder="1" applyProtection="1">
      <protection locked="0"/>
    </xf>
    <xf numFmtId="174" fontId="14" fillId="17" borderId="49" xfId="0" applyNumberFormat="1" applyFont="1" applyFill="1" applyBorder="1" applyProtection="1">
      <protection locked="0"/>
    </xf>
    <xf numFmtId="174" fontId="14" fillId="17" borderId="50" xfId="0" applyNumberFormat="1" applyFont="1" applyFill="1" applyBorder="1" applyProtection="1">
      <protection locked="0"/>
    </xf>
    <xf numFmtId="174" fontId="14" fillId="17" borderId="48" xfId="0" applyNumberFormat="1" applyFont="1" applyFill="1" applyBorder="1" applyProtection="1">
      <protection locked="0"/>
    </xf>
    <xf numFmtId="174" fontId="14" fillId="17" borderId="72" xfId="0" applyNumberFormat="1" applyFont="1" applyFill="1" applyBorder="1" applyProtection="1">
      <protection locked="0"/>
    </xf>
    <xf numFmtId="174" fontId="14" fillId="17" borderId="68" xfId="0" applyNumberFormat="1" applyFont="1" applyFill="1" applyBorder="1" applyProtection="1">
      <protection locked="0"/>
    </xf>
    <xf numFmtId="174" fontId="14" fillId="17" borderId="73" xfId="0" applyNumberFormat="1" applyFont="1" applyFill="1" applyBorder="1" applyProtection="1">
      <protection locked="0"/>
    </xf>
    <xf numFmtId="174" fontId="12" fillId="17" borderId="77" xfId="0" applyNumberFormat="1" applyFont="1" applyFill="1" applyBorder="1" applyProtection="1">
      <protection locked="0"/>
    </xf>
    <xf numFmtId="0" fontId="17" fillId="17" borderId="42" xfId="0" applyNumberFormat="1" applyFont="1" applyFill="1" applyBorder="1" applyAlignment="1" applyProtection="1">
      <alignment horizontal="center"/>
      <protection locked="0"/>
    </xf>
    <xf numFmtId="0" fontId="17" fillId="17" borderId="0" xfId="0" applyNumberFormat="1" applyFont="1" applyFill="1" applyBorder="1" applyAlignment="1" applyProtection="1">
      <alignment horizontal="center"/>
      <protection locked="0"/>
    </xf>
    <xf numFmtId="0" fontId="12" fillId="17" borderId="0" xfId="0" applyNumberFormat="1" applyFont="1" applyFill="1" applyBorder="1" applyProtection="1">
      <protection locked="0"/>
    </xf>
    <xf numFmtId="0" fontId="12" fillId="17" borderId="76" xfId="0" applyNumberFormat="1" applyFont="1" applyFill="1" applyBorder="1" applyProtection="1">
      <protection locked="0"/>
    </xf>
    <xf numFmtId="0" fontId="12" fillId="17" borderId="42" xfId="0" applyNumberFormat="1" applyFont="1" applyFill="1" applyBorder="1" applyProtection="1">
      <protection locked="0"/>
    </xf>
    <xf numFmtId="0" fontId="12" fillId="17" borderId="3" xfId="0" applyNumberFormat="1" applyFont="1" applyFill="1" applyBorder="1" applyProtection="1">
      <protection locked="0"/>
    </xf>
    <xf numFmtId="0" fontId="14" fillId="17" borderId="3" xfId="0" applyNumberFormat="1" applyFont="1" applyFill="1" applyBorder="1" applyProtection="1">
      <protection locked="0"/>
    </xf>
    <xf numFmtId="0" fontId="14" fillId="17" borderId="0" xfId="1" applyNumberFormat="1" applyFont="1" applyFill="1" applyBorder="1" applyAlignment="1" applyProtection="1">
      <alignment horizontal="center"/>
      <protection locked="0"/>
    </xf>
    <xf numFmtId="174" fontId="14" fillId="17" borderId="67" xfId="0" applyNumberFormat="1" applyFont="1" applyFill="1" applyBorder="1" applyAlignment="1" applyProtection="1">
      <alignment horizontal="center"/>
      <protection locked="0"/>
    </xf>
    <xf numFmtId="174" fontId="12" fillId="17" borderId="67" xfId="1" applyNumberFormat="1" applyFont="1" applyFill="1" applyBorder="1" applyProtection="1">
      <protection locked="0"/>
    </xf>
    <xf numFmtId="0" fontId="14" fillId="17" borderId="68" xfId="0" applyNumberFormat="1" applyFont="1" applyFill="1" applyBorder="1" applyAlignment="1" applyProtection="1">
      <alignment horizontal="left" indent="1"/>
      <protection locked="0"/>
    </xf>
    <xf numFmtId="175" fontId="12" fillId="17" borderId="71" xfId="1" applyNumberFormat="1" applyFont="1" applyFill="1" applyBorder="1" applyAlignment="1" applyProtection="1">
      <alignment horizontal="center"/>
      <protection locked="0"/>
    </xf>
    <xf numFmtId="0" fontId="12" fillId="17" borderId="73" xfId="1" applyNumberFormat="1" applyFont="1" applyFill="1" applyBorder="1" applyAlignment="1" applyProtection="1">
      <alignment horizontal="center"/>
      <protection locked="0"/>
    </xf>
    <xf numFmtId="174" fontId="12" fillId="17" borderId="69" xfId="0" applyNumberFormat="1" applyFont="1" applyFill="1" applyBorder="1" applyProtection="1">
      <protection locked="0"/>
    </xf>
    <xf numFmtId="0" fontId="15" fillId="17" borderId="3" xfId="0" applyNumberFormat="1" applyFont="1" applyFill="1" applyBorder="1" applyProtection="1">
      <protection locked="0"/>
    </xf>
    <xf numFmtId="0" fontId="12" fillId="17" borderId="4" xfId="0" applyNumberFormat="1" applyFont="1" applyFill="1" applyBorder="1" applyAlignment="1" applyProtection="1">
      <alignment horizontal="left" indent="1"/>
      <protection locked="0"/>
    </xf>
    <xf numFmtId="175" fontId="12" fillId="17" borderId="36" xfId="1" applyNumberFormat="1" applyFont="1" applyFill="1" applyBorder="1" applyAlignment="1" applyProtection="1">
      <alignment horizontal="center"/>
      <protection locked="0"/>
    </xf>
    <xf numFmtId="0" fontId="12" fillId="17" borderId="9" xfId="1" applyNumberFormat="1" applyFont="1" applyFill="1" applyBorder="1" applyAlignment="1" applyProtection="1">
      <alignment horizontal="center"/>
      <protection locked="0"/>
    </xf>
    <xf numFmtId="174" fontId="12" fillId="17" borderId="37" xfId="0" applyNumberFormat="1" applyFont="1" applyFill="1" applyBorder="1" applyProtection="1">
      <protection locked="0"/>
    </xf>
    <xf numFmtId="0" fontId="23" fillId="0" borderId="0" xfId="0" applyFont="1" applyProtection="1"/>
    <xf numFmtId="0" fontId="0" fillId="0" borderId="0" xfId="0" applyFont="1" applyProtection="1"/>
    <xf numFmtId="175" fontId="12" fillId="18" borderId="42" xfId="1" applyNumberFormat="1" applyFont="1" applyFill="1" applyBorder="1"/>
    <xf numFmtId="175" fontId="12" fillId="18" borderId="0" xfId="1" applyNumberFormat="1" applyFont="1" applyFill="1" applyBorder="1"/>
    <xf numFmtId="170" fontId="12" fillId="0" borderId="42" xfId="0" applyNumberFormat="1" applyFont="1" applyBorder="1" applyAlignment="1">
      <alignment horizontal="center"/>
    </xf>
    <xf numFmtId="170" fontId="12" fillId="0" borderId="76" xfId="0" applyNumberFormat="1" applyFont="1" applyBorder="1" applyAlignment="1">
      <alignment horizontal="center"/>
    </xf>
    <xf numFmtId="170" fontId="12" fillId="0" borderId="36" xfId="0" quotePrefix="1" applyNumberFormat="1" applyFont="1" applyBorder="1" applyAlignment="1">
      <alignment horizontal="center"/>
    </xf>
    <xf numFmtId="170" fontId="12" fillId="0" borderId="77" xfId="0" quotePrefix="1" applyNumberFormat="1" applyFont="1" applyBorder="1" applyAlignment="1">
      <alignment horizontal="center"/>
    </xf>
    <xf numFmtId="174" fontId="12" fillId="0" borderId="47" xfId="0" applyNumberFormat="1" applyFont="1" applyBorder="1" applyAlignment="1">
      <alignment horizontal="center"/>
    </xf>
    <xf numFmtId="170" fontId="12" fillId="0" borderId="37" xfId="0" applyNumberFormat="1" applyFont="1" applyBorder="1" applyAlignment="1">
      <alignment horizontal="center"/>
    </xf>
    <xf numFmtId="0" fontId="12" fillId="0" borderId="67" xfId="0" applyFont="1" applyBorder="1"/>
    <xf numFmtId="174" fontId="12" fillId="0" borderId="67" xfId="0" applyNumberFormat="1" applyFont="1" applyBorder="1" applyAlignment="1">
      <alignment horizontal="center"/>
    </xf>
    <xf numFmtId="170" fontId="12" fillId="0" borderId="67" xfId="0" quotePrefix="1" applyNumberFormat="1" applyFont="1" applyBorder="1" applyAlignment="1">
      <alignment horizontal="center"/>
    </xf>
    <xf numFmtId="170" fontId="12" fillId="0" borderId="37" xfId="0" quotePrefix="1" applyNumberFormat="1" applyFont="1" applyBorder="1" applyAlignment="1">
      <alignment horizontal="center"/>
    </xf>
    <xf numFmtId="170" fontId="12" fillId="0" borderId="64" xfId="0" applyNumberFormat="1" applyFont="1" applyBorder="1" applyAlignment="1">
      <alignment horizontal="center"/>
    </xf>
    <xf numFmtId="170" fontId="12" fillId="0" borderId="47" xfId="0" quotePrefix="1" applyNumberFormat="1" applyFont="1" applyBorder="1" applyAlignment="1">
      <alignment horizontal="center"/>
    </xf>
    <xf numFmtId="170" fontId="12" fillId="0" borderId="64" xfId="0" quotePrefix="1" applyNumberFormat="1" applyFont="1" applyBorder="1" applyAlignment="1">
      <alignment horizontal="center"/>
    </xf>
    <xf numFmtId="170" fontId="12" fillId="0" borderId="67" xfId="0" applyNumberFormat="1" applyFont="1" applyBorder="1" applyAlignment="1">
      <alignment horizontal="center"/>
    </xf>
    <xf numFmtId="174" fontId="12" fillId="0" borderId="37" xfId="0" quotePrefix="1" applyNumberFormat="1" applyFont="1" applyBorder="1" applyAlignment="1">
      <alignment horizontal="center"/>
    </xf>
    <xf numFmtId="170" fontId="12" fillId="0" borderId="47" xfId="0" applyNumberFormat="1" applyFont="1" applyBorder="1" applyAlignment="1">
      <alignment horizontal="center"/>
    </xf>
    <xf numFmtId="174" fontId="12" fillId="0" borderId="64" xfId="0" quotePrefix="1" applyNumberFormat="1" applyFont="1" applyBorder="1" applyAlignment="1">
      <alignment horizontal="center"/>
    </xf>
    <xf numFmtId="0" fontId="12" fillId="0" borderId="47" xfId="0" applyFont="1" applyBorder="1" applyAlignment="1">
      <alignment horizontal="center"/>
    </xf>
    <xf numFmtId="170" fontId="12" fillId="0" borderId="99" xfId="0" applyNumberFormat="1" applyFont="1" applyBorder="1" applyAlignment="1">
      <alignment horizontal="center"/>
    </xf>
    <xf numFmtId="0" fontId="30" fillId="0" borderId="12" xfId="0" applyFont="1" applyBorder="1"/>
    <xf numFmtId="0" fontId="31" fillId="0" borderId="3" xfId="0" applyFont="1" applyBorder="1"/>
    <xf numFmtId="0" fontId="32" fillId="0" borderId="3" xfId="0" applyFont="1" applyBorder="1"/>
    <xf numFmtId="0" fontId="31" fillId="0" borderId="11" xfId="0" applyFont="1" applyBorder="1" applyAlignment="1">
      <alignment horizontal="center"/>
    </xf>
    <xf numFmtId="0" fontId="31" fillId="0" borderId="6" xfId="0" applyFont="1" applyBorder="1" applyAlignment="1">
      <alignment horizontal="center"/>
    </xf>
    <xf numFmtId="0" fontId="31" fillId="0" borderId="103" xfId="0" applyFont="1" applyBorder="1" applyAlignment="1">
      <alignment horizontal="center"/>
    </xf>
    <xf numFmtId="0" fontId="31" fillId="0" borderId="43" xfId="0" applyFont="1" applyBorder="1" applyAlignment="1">
      <alignment horizontal="center"/>
    </xf>
    <xf numFmtId="0" fontId="31" fillId="0" borderId="75" xfId="0" applyFont="1" applyBorder="1"/>
    <xf numFmtId="0" fontId="31" fillId="0" borderId="103" xfId="0" applyFont="1" applyBorder="1"/>
    <xf numFmtId="0" fontId="31" fillId="0" borderId="43" xfId="0" applyFont="1" applyBorder="1"/>
    <xf numFmtId="0" fontId="31" fillId="0" borderId="1" xfId="0" applyFont="1" applyBorder="1" applyAlignment="1">
      <alignment horizontal="center"/>
    </xf>
    <xf numFmtId="0" fontId="31" fillId="0" borderId="0" xfId="0" applyFont="1" applyBorder="1" applyAlignment="1">
      <alignment horizontal="center"/>
    </xf>
    <xf numFmtId="174" fontId="31" fillId="0" borderId="99" xfId="0" applyNumberFormat="1" applyFont="1" applyBorder="1" applyAlignment="1">
      <alignment horizontal="center"/>
    </xf>
    <xf numFmtId="0" fontId="31" fillId="0" borderId="4" xfId="0" applyFont="1" applyBorder="1"/>
    <xf numFmtId="0" fontId="31" fillId="0" borderId="5" xfId="0" applyFont="1" applyBorder="1" applyAlignment="1">
      <alignment horizontal="center"/>
    </xf>
    <xf numFmtId="0" fontId="31" fillId="0" borderId="9" xfId="0" applyFont="1" applyBorder="1" applyAlignment="1">
      <alignment horizontal="center"/>
    </xf>
    <xf numFmtId="0" fontId="31" fillId="0" borderId="93" xfId="0" applyFont="1" applyBorder="1" applyAlignment="1">
      <alignment horizontal="center"/>
    </xf>
    <xf numFmtId="0" fontId="31" fillId="0" borderId="36" xfId="0" applyFont="1" applyBorder="1" applyAlignment="1">
      <alignment horizontal="center"/>
    </xf>
    <xf numFmtId="0" fontId="31" fillId="0" borderId="77" xfId="0" applyFont="1" applyBorder="1"/>
    <xf numFmtId="0" fontId="31" fillId="0" borderId="93" xfId="0" applyFont="1" applyBorder="1"/>
    <xf numFmtId="0" fontId="31" fillId="0" borderId="36" xfId="0" applyFont="1" applyBorder="1"/>
    <xf numFmtId="174" fontId="31" fillId="0" borderId="76" xfId="0" applyNumberFormat="1" applyFont="1" applyBorder="1" applyAlignment="1">
      <alignment horizontal="center"/>
    </xf>
    <xf numFmtId="0" fontId="33" fillId="0" borderId="99" xfId="0" applyFont="1" applyBorder="1" applyAlignment="1">
      <alignment horizontal="center"/>
    </xf>
    <xf numFmtId="0" fontId="33" fillId="0" borderId="76" xfId="0" applyFont="1" applyBorder="1" applyAlignment="1">
      <alignment horizontal="center"/>
    </xf>
    <xf numFmtId="164" fontId="12" fillId="18" borderId="76" xfId="1" applyNumberFormat="1" applyFont="1" applyFill="1" applyBorder="1" applyAlignment="1">
      <alignment horizontal="left" vertical="top" wrapText="1"/>
    </xf>
    <xf numFmtId="164" fontId="16" fillId="18" borderId="76" xfId="1" applyNumberFormat="1" applyFont="1" applyFill="1" applyBorder="1" applyAlignment="1">
      <alignment horizontal="left" vertical="top" wrapText="1"/>
    </xf>
    <xf numFmtId="168" fontId="12" fillId="18" borderId="42" xfId="0" applyNumberFormat="1" applyFont="1" applyFill="1" applyBorder="1" applyAlignment="1">
      <alignment horizontal="center"/>
    </xf>
    <xf numFmtId="168" fontId="12" fillId="18" borderId="76" xfId="0" applyNumberFormat="1" applyFont="1" applyFill="1" applyBorder="1" applyAlignment="1">
      <alignment horizontal="center"/>
    </xf>
    <xf numFmtId="0" fontId="12" fillId="18" borderId="42" xfId="0" applyNumberFormat="1" applyFont="1" applyFill="1" applyBorder="1" applyAlignment="1">
      <alignment horizontal="center"/>
    </xf>
    <xf numFmtId="0" fontId="12" fillId="18" borderId="8" xfId="0" applyNumberFormat="1" applyFont="1" applyFill="1" applyBorder="1" applyAlignment="1">
      <alignment horizontal="center"/>
    </xf>
    <xf numFmtId="175" fontId="12" fillId="18" borderId="42" xfId="0" applyNumberFormat="1" applyFont="1" applyFill="1" applyBorder="1" applyAlignment="1"/>
    <xf numFmtId="175" fontId="12" fillId="18" borderId="8" xfId="0" applyNumberFormat="1" applyFont="1" applyFill="1" applyBorder="1" applyAlignment="1"/>
    <xf numFmtId="168" fontId="14" fillId="18" borderId="43" xfId="0" applyNumberFormat="1" applyFont="1" applyFill="1" applyBorder="1"/>
    <xf numFmtId="168" fontId="14" fillId="18" borderId="75" xfId="0" applyNumberFormat="1" applyFont="1" applyFill="1" applyBorder="1"/>
    <xf numFmtId="168" fontId="14" fillId="18" borderId="0" xfId="0" applyNumberFormat="1" applyFont="1" applyFill="1" applyBorder="1" applyAlignment="1">
      <alignment horizontal="center"/>
    </xf>
    <xf numFmtId="168" fontId="14" fillId="18" borderId="8" xfId="0" applyNumberFormat="1" applyFont="1" applyFill="1" applyBorder="1"/>
    <xf numFmtId="14" fontId="12" fillId="18" borderId="42" xfId="0" applyNumberFormat="1" applyFont="1" applyFill="1" applyBorder="1" applyAlignment="1">
      <alignment horizontal="center"/>
    </xf>
    <xf numFmtId="14" fontId="12" fillId="18" borderId="76" xfId="0" applyNumberFormat="1" applyFont="1" applyFill="1" applyBorder="1" applyAlignment="1">
      <alignment horizontal="center"/>
    </xf>
    <xf numFmtId="14" fontId="12" fillId="18" borderId="0" xfId="0" applyNumberFormat="1" applyFont="1" applyFill="1" applyBorder="1" applyAlignment="1">
      <alignment horizontal="center"/>
    </xf>
    <xf numFmtId="14" fontId="12" fillId="18" borderId="8" xfId="0" applyNumberFormat="1" applyFont="1" applyFill="1" applyBorder="1" applyAlignment="1">
      <alignment horizontal="center"/>
    </xf>
    <xf numFmtId="168" fontId="14" fillId="18" borderId="42" xfId="0" applyNumberFormat="1" applyFont="1" applyFill="1" applyBorder="1"/>
    <xf numFmtId="168" fontId="14" fillId="18" borderId="76" xfId="0" applyNumberFormat="1" applyFont="1" applyFill="1" applyBorder="1"/>
    <xf numFmtId="168" fontId="14" fillId="18" borderId="42" xfId="0" applyNumberFormat="1" applyFont="1" applyFill="1" applyBorder="1" applyAlignment="1">
      <alignment horizontal="center"/>
    </xf>
    <xf numFmtId="168" fontId="14" fillId="18" borderId="76" xfId="0" applyNumberFormat="1" applyFont="1" applyFill="1" applyBorder="1" applyAlignment="1">
      <alignment horizontal="center"/>
    </xf>
    <xf numFmtId="0" fontId="14" fillId="18" borderId="42" xfId="0" applyNumberFormat="1" applyFont="1" applyFill="1" applyBorder="1" applyAlignment="1">
      <alignment horizontal="center"/>
    </xf>
    <xf numFmtId="0" fontId="14" fillId="18" borderId="8" xfId="0" applyNumberFormat="1" applyFont="1" applyFill="1" applyBorder="1" applyAlignment="1">
      <alignment horizontal="center"/>
    </xf>
    <xf numFmtId="43" fontId="12" fillId="18" borderId="42" xfId="1" applyFont="1" applyFill="1" applyBorder="1" applyAlignment="1">
      <alignment horizontal="center"/>
    </xf>
    <xf numFmtId="43" fontId="12" fillId="18" borderId="76" xfId="1" applyFont="1" applyFill="1" applyBorder="1" applyAlignment="1">
      <alignment horizontal="center"/>
    </xf>
    <xf numFmtId="168" fontId="12" fillId="18" borderId="42" xfId="0" applyNumberFormat="1" applyFont="1" applyFill="1" applyBorder="1"/>
    <xf numFmtId="168" fontId="12" fillId="18" borderId="76" xfId="0" applyNumberFormat="1" applyFont="1" applyFill="1" applyBorder="1"/>
    <xf numFmtId="43" fontId="12" fillId="18" borderId="8" xfId="1" applyFont="1" applyFill="1" applyBorder="1" applyAlignment="1">
      <alignment horizontal="center"/>
    </xf>
    <xf numFmtId="168" fontId="12" fillId="18" borderId="8" xfId="0" applyNumberFormat="1" applyFont="1" applyFill="1" applyBorder="1"/>
    <xf numFmtId="0" fontId="14" fillId="0" borderId="12" xfId="0" applyFont="1" applyBorder="1" applyAlignment="1">
      <alignment wrapText="1"/>
    </xf>
    <xf numFmtId="0" fontId="12" fillId="0" borderId="103" xfId="0" applyFont="1" applyBorder="1"/>
    <xf numFmtId="174" fontId="12" fillId="0" borderId="77" xfId="0" applyNumberFormat="1" applyFont="1" applyBorder="1"/>
    <xf numFmtId="174" fontId="12" fillId="0" borderId="93" xfId="0" applyNumberFormat="1" applyFont="1" applyBorder="1"/>
    <xf numFmtId="174" fontId="12" fillId="0" borderId="5" xfId="0" applyNumberFormat="1" applyFont="1" applyBorder="1"/>
    <xf numFmtId="0" fontId="6" fillId="0" borderId="0" xfId="2" applyAlignment="1" applyProtection="1">
      <alignment vertical="center"/>
    </xf>
    <xf numFmtId="0" fontId="6" fillId="0" borderId="0" xfId="2" applyAlignment="1" applyProtection="1"/>
    <xf numFmtId="175" fontId="12" fillId="0" borderId="42" xfId="1" applyNumberFormat="1" applyFont="1" applyBorder="1" applyAlignment="1" applyProtection="1">
      <alignment horizontal="center"/>
      <protection locked="0"/>
    </xf>
    <xf numFmtId="175" fontId="12" fillId="0" borderId="42" xfId="1" applyNumberFormat="1" applyFont="1" applyBorder="1" applyProtection="1">
      <protection locked="0"/>
    </xf>
    <xf numFmtId="175" fontId="12" fillId="0" borderId="42" xfId="1" applyNumberFormat="1" applyFont="1" applyFill="1" applyBorder="1" applyProtection="1">
      <protection locked="0"/>
    </xf>
    <xf numFmtId="175" fontId="12" fillId="0" borderId="0" xfId="1" applyNumberFormat="1" applyFont="1" applyFill="1" applyBorder="1" applyProtection="1">
      <protection locked="0"/>
    </xf>
    <xf numFmtId="174" fontId="12" fillId="17" borderId="107" xfId="0" applyNumberFormat="1" applyFont="1" applyFill="1" applyBorder="1" applyProtection="1">
      <protection locked="0"/>
    </xf>
    <xf numFmtId="174" fontId="12" fillId="17" borderId="98" xfId="0" applyNumberFormat="1" applyFont="1" applyFill="1" applyBorder="1" applyProtection="1">
      <protection locked="0"/>
    </xf>
    <xf numFmtId="0" fontId="16" fillId="0" borderId="11" xfId="0" applyFont="1" applyBorder="1" applyAlignment="1">
      <alignment horizontal="left"/>
    </xf>
    <xf numFmtId="0" fontId="16" fillId="0" borderId="7" xfId="0" applyFont="1" applyBorder="1" applyAlignment="1">
      <alignment horizontal="center"/>
    </xf>
    <xf numFmtId="0" fontId="40" fillId="0" borderId="3" xfId="0" applyFont="1" applyBorder="1"/>
    <xf numFmtId="0" fontId="41" fillId="0" borderId="1" xfId="0" applyFont="1" applyBorder="1" applyAlignment="1">
      <alignment horizontal="center"/>
    </xf>
    <xf numFmtId="0" fontId="42" fillId="0" borderId="99" xfId="0" applyFont="1" applyBorder="1" applyAlignment="1">
      <alignment horizontal="center"/>
    </xf>
    <xf numFmtId="0" fontId="42" fillId="0" borderId="76" xfId="0" applyFont="1" applyBorder="1" applyAlignment="1">
      <alignment horizontal="center"/>
    </xf>
    <xf numFmtId="0" fontId="43" fillId="0" borderId="0" xfId="0" applyFont="1"/>
    <xf numFmtId="0" fontId="12" fillId="0" borderId="103" xfId="0" applyFont="1" applyBorder="1" applyAlignment="1">
      <alignment horizontal="center"/>
    </xf>
    <xf numFmtId="0" fontId="12" fillId="0" borderId="93" xfId="0" applyFont="1" applyBorder="1" applyAlignment="1">
      <alignment horizontal="center"/>
    </xf>
    <xf numFmtId="0" fontId="17" fillId="0" borderId="0" xfId="0" applyNumberFormat="1" applyFont="1" applyBorder="1" applyAlignment="1" applyProtection="1">
      <alignment horizontal="left"/>
    </xf>
    <xf numFmtId="170" fontId="12" fillId="18" borderId="42" xfId="1" applyNumberFormat="1" applyFont="1" applyFill="1" applyBorder="1" applyAlignment="1">
      <alignment horizontal="center"/>
    </xf>
    <xf numFmtId="170" fontId="12" fillId="18" borderId="67" xfId="1" applyNumberFormat="1" applyFont="1" applyFill="1" applyBorder="1" applyAlignment="1">
      <alignment horizontal="center"/>
    </xf>
    <xf numFmtId="170" fontId="12" fillId="18" borderId="76" xfId="1" applyNumberFormat="1" applyFont="1" applyFill="1" applyBorder="1" applyAlignment="1">
      <alignment horizontal="center"/>
    </xf>
    <xf numFmtId="170" fontId="12" fillId="18" borderId="0" xfId="1" applyNumberFormat="1" applyFont="1" applyFill="1" applyBorder="1" applyAlignment="1">
      <alignment horizontal="center"/>
    </xf>
    <xf numFmtId="0" fontId="12" fillId="18" borderId="0" xfId="0" applyFont="1" applyFill="1" applyAlignment="1">
      <alignment horizontal="center"/>
    </xf>
    <xf numFmtId="0" fontId="12" fillId="18" borderId="0" xfId="0" applyFont="1" applyFill="1"/>
    <xf numFmtId="0" fontId="12" fillId="18" borderId="8" xfId="0" applyFont="1" applyFill="1" applyBorder="1"/>
    <xf numFmtId="0" fontId="12" fillId="18" borderId="9" xfId="0" applyFont="1" applyFill="1" applyBorder="1" applyAlignment="1">
      <alignment horizontal="center"/>
    </xf>
    <xf numFmtId="0" fontId="12" fillId="18" borderId="9" xfId="0" applyFont="1" applyFill="1" applyBorder="1"/>
    <xf numFmtId="0" fontId="12" fillId="18" borderId="10" xfId="0" applyFont="1" applyFill="1" applyBorder="1"/>
    <xf numFmtId="174" fontId="12" fillId="0" borderId="45" xfId="0" applyNumberFormat="1" applyFont="1" applyBorder="1" applyAlignment="1">
      <alignment horizontal="center"/>
    </xf>
    <xf numFmtId="174" fontId="12" fillId="0" borderId="43" xfId="0" applyNumberFormat="1" applyFont="1" applyBorder="1" applyAlignment="1">
      <alignment horizontal="center"/>
    </xf>
    <xf numFmtId="174" fontId="12" fillId="0" borderId="66" xfId="0" applyNumberFormat="1" applyFont="1" applyBorder="1" applyAlignment="1">
      <alignment horizontal="center"/>
    </xf>
    <xf numFmtId="174" fontId="12" fillId="0" borderId="75" xfId="0" applyNumberFormat="1" applyFont="1" applyBorder="1" applyAlignment="1">
      <alignment horizontal="center"/>
    </xf>
    <xf numFmtId="174" fontId="12" fillId="0" borderId="64" xfId="0" applyNumberFormat="1" applyFont="1" applyBorder="1" applyAlignment="1">
      <alignment horizontal="center"/>
    </xf>
    <xf numFmtId="174" fontId="12" fillId="0" borderId="36" xfId="0" applyNumberFormat="1" applyFont="1" applyBorder="1" applyAlignment="1">
      <alignment horizontal="center"/>
    </xf>
    <xf numFmtId="174" fontId="12" fillId="0" borderId="37" xfId="0" applyNumberFormat="1" applyFont="1" applyBorder="1"/>
    <xf numFmtId="174" fontId="12" fillId="0" borderId="64" xfId="0" applyNumberFormat="1" applyFont="1" applyBorder="1"/>
    <xf numFmtId="0" fontId="16" fillId="0" borderId="45" xfId="0" applyFont="1" applyBorder="1" applyAlignment="1">
      <alignment horizontal="center"/>
    </xf>
    <xf numFmtId="0" fontId="16" fillId="0" borderId="43" xfId="0" applyFont="1" applyBorder="1" applyAlignment="1">
      <alignment horizontal="center"/>
    </xf>
    <xf numFmtId="168" fontId="12" fillId="0" borderId="75" xfId="0" applyNumberFormat="1" applyFont="1" applyBorder="1"/>
    <xf numFmtId="170" fontId="12" fillId="0" borderId="42" xfId="6" applyNumberFormat="1" applyFont="1" applyBorder="1" applyAlignment="1">
      <alignment horizontal="center"/>
    </xf>
    <xf numFmtId="168" fontId="12" fillId="0" borderId="76" xfId="0" applyNumberFormat="1" applyFont="1" applyBorder="1"/>
    <xf numFmtId="170" fontId="12" fillId="0" borderId="47" xfId="6" applyNumberFormat="1" applyFont="1" applyBorder="1" applyAlignment="1">
      <alignment horizontal="center"/>
    </xf>
    <xf numFmtId="170" fontId="12" fillId="0" borderId="76" xfId="6" applyNumberFormat="1" applyFont="1" applyBorder="1" applyAlignment="1">
      <alignment horizontal="center"/>
    </xf>
    <xf numFmtId="174" fontId="12" fillId="18" borderId="47" xfId="0" applyNumberFormat="1" applyFont="1" applyFill="1" applyBorder="1" applyAlignment="1">
      <alignment horizontal="center"/>
    </xf>
    <xf numFmtId="174" fontId="12" fillId="18" borderId="42" xfId="0" applyNumberFormat="1" applyFont="1" applyFill="1" applyBorder="1" applyAlignment="1">
      <alignment horizontal="center"/>
    </xf>
    <xf numFmtId="174" fontId="12" fillId="18" borderId="76" xfId="0" applyNumberFormat="1" applyFont="1" applyFill="1" applyBorder="1"/>
    <xf numFmtId="174" fontId="12" fillId="18" borderId="47" xfId="0" applyNumberFormat="1" applyFont="1" applyFill="1" applyBorder="1"/>
    <xf numFmtId="174" fontId="12" fillId="18" borderId="42" xfId="0" applyNumberFormat="1" applyFont="1" applyFill="1" applyBorder="1"/>
    <xf numFmtId="0" fontId="12" fillId="0" borderId="108" xfId="0" applyFont="1" applyBorder="1" applyAlignment="1">
      <alignment horizontal="center"/>
    </xf>
    <xf numFmtId="0" fontId="12" fillId="0" borderId="109" xfId="0" applyFont="1" applyBorder="1" applyAlignment="1">
      <alignment horizontal="center"/>
    </xf>
    <xf numFmtId="168" fontId="12" fillId="0" borderId="110" xfId="0" applyNumberFormat="1" applyFont="1" applyBorder="1"/>
    <xf numFmtId="168" fontId="12" fillId="0" borderId="108" xfId="0" applyNumberFormat="1" applyFont="1" applyBorder="1"/>
    <xf numFmtId="168" fontId="12" fillId="0" borderId="109" xfId="0" applyNumberFormat="1" applyFont="1" applyBorder="1"/>
    <xf numFmtId="168" fontId="12" fillId="0" borderId="111" xfId="0" applyNumberFormat="1" applyFont="1" applyBorder="1"/>
    <xf numFmtId="168" fontId="12" fillId="0" borderId="112" xfId="0" applyNumberFormat="1" applyFont="1" applyBorder="1"/>
    <xf numFmtId="168" fontId="12" fillId="0" borderId="113" xfId="0" applyNumberFormat="1" applyFont="1" applyBorder="1"/>
    <xf numFmtId="174" fontId="14" fillId="0" borderId="114" xfId="0" applyNumberFormat="1" applyFont="1" applyBorder="1"/>
    <xf numFmtId="174" fontId="14" fillId="0" borderId="115" xfId="0" applyNumberFormat="1" applyFont="1" applyBorder="1"/>
    <xf numFmtId="174" fontId="14" fillId="0" borderId="116" xfId="0" applyNumberFormat="1" applyFont="1" applyBorder="1"/>
    <xf numFmtId="49" fontId="14" fillId="0" borderId="12" xfId="0" applyNumberFormat="1" applyFont="1" applyFill="1" applyBorder="1" applyAlignment="1">
      <alignment horizontal="center" vertical="center" wrapText="1"/>
    </xf>
    <xf numFmtId="0" fontId="14" fillId="0" borderId="45" xfId="0" applyFont="1" applyFill="1" applyBorder="1" applyAlignment="1">
      <alignment vertical="center"/>
    </xf>
    <xf numFmtId="0" fontId="14" fillId="0" borderId="64" xfId="0" applyFont="1" applyFill="1" applyBorder="1" applyAlignment="1">
      <alignment vertical="center"/>
    </xf>
    <xf numFmtId="0" fontId="12" fillId="0" borderId="47" xfId="0" applyNumberFormat="1" applyFont="1" applyBorder="1" applyAlignment="1">
      <alignment horizontal="center"/>
    </xf>
    <xf numFmtId="0" fontId="12" fillId="0" borderId="63" xfId="0" applyNumberFormat="1" applyFont="1" applyBorder="1" applyAlignment="1">
      <alignment horizontal="center"/>
    </xf>
    <xf numFmtId="0" fontId="12" fillId="0" borderId="47" xfId="0" applyNumberFormat="1" applyFont="1" applyFill="1" applyBorder="1" applyAlignment="1">
      <alignment horizontal="center"/>
    </xf>
    <xf numFmtId="0" fontId="12" fillId="0" borderId="63" xfId="0" applyNumberFormat="1" applyFont="1" applyFill="1" applyBorder="1" applyAlignment="1">
      <alignment horizontal="center"/>
    </xf>
    <xf numFmtId="0" fontId="12" fillId="0" borderId="56" xfId="0" applyNumberFormat="1" applyFont="1" applyFill="1" applyBorder="1" applyAlignment="1">
      <alignment horizontal="center"/>
    </xf>
    <xf numFmtId="174" fontId="12" fillId="0" borderId="76" xfId="0" applyNumberFormat="1" applyFont="1" applyBorder="1" applyAlignment="1" applyProtection="1">
      <alignment horizontal="right"/>
    </xf>
    <xf numFmtId="174" fontId="12" fillId="0" borderId="47" xfId="0" applyNumberFormat="1" applyFont="1" applyFill="1" applyBorder="1" applyAlignment="1" applyProtection="1">
      <alignment horizontal="right"/>
    </xf>
    <xf numFmtId="174" fontId="14" fillId="0" borderId="86" xfId="0" applyNumberFormat="1" applyFont="1" applyBorder="1" applyProtection="1"/>
    <xf numFmtId="174" fontId="12" fillId="0" borderId="99" xfId="0" applyNumberFormat="1" applyFont="1" applyBorder="1" applyAlignment="1" applyProtection="1">
      <alignment horizontal="right"/>
    </xf>
    <xf numFmtId="174" fontId="12" fillId="0" borderId="70" xfId="0" applyNumberFormat="1" applyFont="1" applyBorder="1" applyAlignment="1">
      <alignment horizontal="right"/>
    </xf>
    <xf numFmtId="0" fontId="14" fillId="0" borderId="75" xfId="0" applyFont="1" applyBorder="1" applyAlignment="1" applyProtection="1">
      <alignment horizontal="center"/>
    </xf>
    <xf numFmtId="174" fontId="14" fillId="0" borderId="86" xfId="0" applyNumberFormat="1" applyFont="1" applyBorder="1" applyAlignment="1" applyProtection="1">
      <alignment horizontal="right"/>
    </xf>
    <xf numFmtId="174" fontId="12" fillId="0" borderId="76" xfId="0" applyNumberFormat="1" applyFont="1" applyBorder="1" applyProtection="1"/>
    <xf numFmtId="174" fontId="12" fillId="0" borderId="76" xfId="0" applyNumberFormat="1" applyFont="1" applyFill="1" applyBorder="1" applyAlignment="1" applyProtection="1">
      <alignment horizontal="right"/>
    </xf>
    <xf numFmtId="174" fontId="14" fillId="0" borderId="84" xfId="0" applyNumberFormat="1" applyFont="1" applyBorder="1" applyProtection="1"/>
    <xf numFmtId="0" fontId="7" fillId="0" borderId="0" xfId="5" applyFont="1"/>
    <xf numFmtId="167" fontId="12" fillId="0" borderId="76" xfId="0" applyNumberFormat="1" applyFont="1" applyFill="1" applyBorder="1" applyAlignment="1">
      <alignment horizontal="center" vertical="top" wrapText="1"/>
    </xf>
    <xf numFmtId="174" fontId="12" fillId="0" borderId="0" xfId="1" applyNumberFormat="1" applyFont="1"/>
    <xf numFmtId="0" fontId="12" fillId="17" borderId="0" xfId="0" applyFont="1" applyFill="1" applyBorder="1" applyProtection="1">
      <protection locked="0"/>
    </xf>
    <xf numFmtId="168" fontId="14" fillId="0" borderId="60" xfId="0" applyNumberFormat="1" applyFont="1" applyBorder="1"/>
    <xf numFmtId="175" fontId="14" fillId="0" borderId="60" xfId="0" applyNumberFormat="1" applyFont="1" applyBorder="1"/>
    <xf numFmtId="0" fontId="14" fillId="0" borderId="60" xfId="0" applyNumberFormat="1" applyFont="1" applyBorder="1"/>
    <xf numFmtId="0" fontId="14" fillId="0" borderId="59" xfId="0" applyNumberFormat="1" applyFont="1" applyBorder="1"/>
    <xf numFmtId="168" fontId="14" fillId="0" borderId="63" xfId="0" applyNumberFormat="1" applyFont="1" applyBorder="1"/>
    <xf numFmtId="168" fontId="14" fillId="0" borderId="61" xfId="0" applyNumberFormat="1" applyFont="1" applyBorder="1"/>
    <xf numFmtId="0" fontId="17" fillId="17" borderId="71" xfId="0" applyNumberFormat="1" applyFont="1" applyFill="1" applyBorder="1" applyAlignment="1" applyProtection="1">
      <alignment horizontal="center"/>
      <protection locked="0"/>
    </xf>
    <xf numFmtId="0" fontId="17" fillId="17" borderId="36" xfId="0" applyNumberFormat="1" applyFont="1" applyFill="1" applyBorder="1" applyAlignment="1" applyProtection="1">
      <alignment horizontal="center"/>
      <protection locked="0"/>
    </xf>
    <xf numFmtId="0" fontId="14" fillId="0" borderId="103" xfId="0" applyNumberFormat="1" applyFont="1" applyFill="1" applyBorder="1" applyAlignment="1">
      <alignment horizontal="center"/>
    </xf>
    <xf numFmtId="0" fontId="14" fillId="0" borderId="99" xfId="0" applyNumberFormat="1" applyFont="1" applyFill="1" applyBorder="1" applyAlignment="1">
      <alignment horizontal="center"/>
    </xf>
    <xf numFmtId="0" fontId="14" fillId="17" borderId="99" xfId="0" applyNumberFormat="1" applyFont="1" applyFill="1" applyBorder="1" applyAlignment="1" applyProtection="1">
      <alignment horizontal="center"/>
      <protection locked="0"/>
    </xf>
    <xf numFmtId="0" fontId="12" fillId="17" borderId="99" xfId="0" applyNumberFormat="1" applyFont="1" applyFill="1" applyBorder="1" applyProtection="1">
      <protection locked="0"/>
    </xf>
    <xf numFmtId="0" fontId="12" fillId="17" borderId="107" xfId="0" applyNumberFormat="1" applyFont="1" applyFill="1" applyBorder="1" applyProtection="1">
      <protection locked="0"/>
    </xf>
    <xf numFmtId="0" fontId="12" fillId="0" borderId="99" xfId="0" applyNumberFormat="1" applyFont="1" applyFill="1" applyBorder="1"/>
    <xf numFmtId="0" fontId="12" fillId="17" borderId="93" xfId="0" applyNumberFormat="1" applyFont="1" applyFill="1" applyBorder="1" applyProtection="1">
      <protection locked="0"/>
    </xf>
    <xf numFmtId="0" fontId="9" fillId="0" borderId="36" xfId="0" applyFont="1" applyFill="1" applyBorder="1" applyAlignment="1">
      <alignment horizontal="left"/>
    </xf>
    <xf numFmtId="49" fontId="14" fillId="0" borderId="43" xfId="0" applyNumberFormat="1" applyFont="1" applyFill="1" applyBorder="1" applyAlignment="1">
      <alignment horizontal="center" vertical="center" wrapText="1"/>
    </xf>
    <xf numFmtId="0" fontId="14" fillId="0" borderId="36" xfId="0" applyFont="1" applyFill="1" applyBorder="1" applyAlignment="1">
      <alignment horizontal="left" vertical="center"/>
    </xf>
    <xf numFmtId="0" fontId="14" fillId="0" borderId="43" xfId="0" applyNumberFormat="1" applyFont="1" applyFill="1" applyBorder="1"/>
    <xf numFmtId="0" fontId="17" fillId="0" borderId="42" xfId="0" applyNumberFormat="1" applyFont="1" applyFill="1" applyBorder="1" applyAlignment="1">
      <alignment horizontal="left" indent="1"/>
    </xf>
    <xf numFmtId="0" fontId="14" fillId="17" borderId="42" xfId="0" applyNumberFormat="1" applyFont="1" applyFill="1" applyBorder="1" applyProtection="1">
      <protection locked="0"/>
    </xf>
    <xf numFmtId="0" fontId="12" fillId="17" borderId="42" xfId="0" applyNumberFormat="1" applyFont="1" applyFill="1" applyBorder="1" applyAlignment="1" applyProtection="1">
      <alignment horizontal="left" indent="1"/>
      <protection locked="0"/>
    </xf>
    <xf numFmtId="0" fontId="14" fillId="17" borderId="71" xfId="0" applyNumberFormat="1" applyFont="1" applyFill="1" applyBorder="1" applyAlignment="1" applyProtection="1">
      <alignment horizontal="left" indent="1"/>
      <protection locked="0"/>
    </xf>
    <xf numFmtId="0" fontId="14" fillId="0" borderId="42" xfId="0" applyNumberFormat="1" applyFont="1" applyBorder="1"/>
    <xf numFmtId="0" fontId="14" fillId="0" borderId="42" xfId="0" applyNumberFormat="1" applyFont="1" applyFill="1" applyBorder="1" applyAlignment="1">
      <alignment horizontal="left" indent="1"/>
    </xf>
    <xf numFmtId="0" fontId="15" fillId="17" borderId="42" xfId="0" applyNumberFormat="1" applyFont="1" applyFill="1" applyBorder="1" applyProtection="1">
      <protection locked="0"/>
    </xf>
    <xf numFmtId="0" fontId="17" fillId="17" borderId="42" xfId="0" applyNumberFormat="1" applyFont="1" applyFill="1" applyBorder="1" applyAlignment="1" applyProtection="1">
      <alignment horizontal="left" indent="1"/>
      <protection locked="0"/>
    </xf>
    <xf numFmtId="0" fontId="14" fillId="17" borderId="42" xfId="0" applyNumberFormat="1" applyFont="1" applyFill="1" applyBorder="1" applyAlignment="1" applyProtection="1">
      <alignment horizontal="left" indent="1"/>
      <protection locked="0"/>
    </xf>
    <xf numFmtId="0" fontId="12" fillId="17" borderId="36" xfId="0" applyNumberFormat="1" applyFont="1" applyFill="1" applyBorder="1" applyAlignment="1" applyProtection="1">
      <alignment horizontal="left" indent="1"/>
      <protection locked="0"/>
    </xf>
    <xf numFmtId="0" fontId="18" fillId="0" borderId="42" xfId="0" applyNumberFormat="1" applyFont="1" applyBorder="1"/>
    <xf numFmtId="0" fontId="17" fillId="0" borderId="42" xfId="0" applyNumberFormat="1" applyFont="1" applyBorder="1"/>
    <xf numFmtId="49" fontId="12" fillId="0" borderId="42" xfId="0" applyNumberFormat="1" applyFont="1" applyFill="1" applyBorder="1" applyAlignment="1">
      <alignment horizontal="center" vertical="center" wrapText="1"/>
    </xf>
    <xf numFmtId="168" fontId="14" fillId="0" borderId="102" xfId="0" applyNumberFormat="1" applyFont="1" applyBorder="1"/>
    <xf numFmtId="168" fontId="14" fillId="0" borderId="105" xfId="0" applyNumberFormat="1" applyFont="1" applyBorder="1"/>
    <xf numFmtId="168" fontId="14" fillId="0" borderId="56" xfId="0" applyNumberFormat="1" applyFont="1" applyBorder="1"/>
    <xf numFmtId="174" fontId="14" fillId="0" borderId="84" xfId="0" applyNumberFormat="1" applyFont="1" applyBorder="1"/>
    <xf numFmtId="168" fontId="14" fillId="0" borderId="48" xfId="0" applyNumberFormat="1" applyFont="1" applyBorder="1"/>
    <xf numFmtId="168" fontId="14" fillId="0" borderId="50" xfId="0" applyNumberFormat="1" applyFont="1" applyBorder="1"/>
    <xf numFmtId="168" fontId="14" fillId="0" borderId="59" xfId="0" applyNumberFormat="1" applyFont="1" applyBorder="1"/>
    <xf numFmtId="0" fontId="14" fillId="0" borderId="99" xfId="0" applyFont="1" applyFill="1" applyBorder="1" applyAlignment="1">
      <alignment horizontal="center" vertical="center" wrapText="1"/>
    </xf>
    <xf numFmtId="0" fontId="14" fillId="0" borderId="47" xfId="0" applyFont="1" applyFill="1" applyBorder="1" applyAlignment="1" applyProtection="1">
      <alignment horizontal="left" indent="1"/>
    </xf>
    <xf numFmtId="0" fontId="14" fillId="0" borderId="3" xfId="0" applyNumberFormat="1" applyFont="1" applyFill="1" applyBorder="1" applyAlignment="1">
      <alignment wrapText="1"/>
    </xf>
    <xf numFmtId="0" fontId="14" fillId="0" borderId="3" xfId="0" applyFont="1" applyFill="1" applyBorder="1" applyAlignment="1">
      <alignment horizontal="left" vertical="center"/>
    </xf>
    <xf numFmtId="0" fontId="14" fillId="0" borderId="47" xfId="0" applyFont="1" applyFill="1" applyBorder="1" applyAlignment="1">
      <alignment vertical="center"/>
    </xf>
    <xf numFmtId="0" fontId="14" fillId="0" borderId="6" xfId="0" applyFont="1" applyFill="1" applyBorder="1" applyAlignment="1">
      <alignment horizontal="left" vertical="center"/>
    </xf>
    <xf numFmtId="0" fontId="12" fillId="0" borderId="6" xfId="0" applyNumberFormat="1" applyFont="1" applyFill="1" applyBorder="1" applyAlignment="1">
      <alignment horizontal="center"/>
    </xf>
    <xf numFmtId="174" fontId="14" fillId="0" borderId="6" xfId="0" applyNumberFormat="1" applyFont="1" applyFill="1" applyBorder="1"/>
    <xf numFmtId="0" fontId="12" fillId="0" borderId="45" xfId="0" applyNumberFormat="1" applyFont="1" applyBorder="1" applyAlignment="1">
      <alignment horizontal="center"/>
    </xf>
    <xf numFmtId="174" fontId="12" fillId="0" borderId="7" xfId="0" applyNumberFormat="1" applyFont="1" applyBorder="1"/>
    <xf numFmtId="174" fontId="12" fillId="0" borderId="12" xfId="0" applyNumberFormat="1" applyFont="1" applyBorder="1"/>
    <xf numFmtId="174" fontId="12" fillId="0" borderId="6" xfId="0" applyNumberFormat="1" applyFont="1" applyBorder="1"/>
    <xf numFmtId="174" fontId="12" fillId="0" borderId="67" xfId="0" applyNumberFormat="1" applyFont="1" applyBorder="1"/>
    <xf numFmtId="174" fontId="14" fillId="0" borderId="102" xfId="0" applyNumberFormat="1" applyFont="1" applyBorder="1"/>
    <xf numFmtId="174" fontId="14" fillId="0" borderId="102" xfId="0" applyNumberFormat="1" applyFont="1" applyFill="1" applyBorder="1"/>
    <xf numFmtId="174" fontId="14" fillId="0" borderId="67" xfId="0" applyNumberFormat="1" applyFont="1" applyFill="1" applyBorder="1"/>
    <xf numFmtId="174" fontId="14" fillId="0" borderId="100" xfId="0" applyNumberFormat="1" applyFont="1" applyFill="1" applyBorder="1"/>
    <xf numFmtId="174" fontId="12" fillId="0" borderId="66" xfId="0" applyNumberFormat="1" applyFont="1" applyBorder="1"/>
    <xf numFmtId="0" fontId="14" fillId="0" borderId="88" xfId="0" applyFont="1" applyFill="1" applyBorder="1" applyAlignment="1">
      <alignment horizontal="center" vertical="center" wrapText="1"/>
    </xf>
    <xf numFmtId="174" fontId="14" fillId="0" borderId="87" xfId="0" applyNumberFormat="1" applyFont="1" applyBorder="1"/>
    <xf numFmtId="174" fontId="14" fillId="0" borderId="87" xfId="0" applyNumberFormat="1" applyFont="1" applyFill="1" applyBorder="1"/>
    <xf numFmtId="174" fontId="14" fillId="0" borderId="1" xfId="0" applyNumberFormat="1" applyFont="1" applyFill="1" applyBorder="1"/>
    <xf numFmtId="174" fontId="14" fillId="0" borderId="88" xfId="0" applyNumberFormat="1" applyFont="1" applyFill="1" applyBorder="1"/>
    <xf numFmtId="174" fontId="14" fillId="0" borderId="11" xfId="0" applyNumberFormat="1" applyFont="1" applyFill="1" applyBorder="1"/>
    <xf numFmtId="174" fontId="12" fillId="0" borderId="11" xfId="0" applyNumberFormat="1" applyFont="1" applyBorder="1"/>
    <xf numFmtId="0" fontId="10" fillId="17" borderId="2" xfId="0" applyFont="1" applyFill="1" applyBorder="1" applyProtection="1">
      <protection locked="0"/>
    </xf>
    <xf numFmtId="0" fontId="11" fillId="17" borderId="0" xfId="0" applyFont="1" applyFill="1" applyAlignment="1" applyProtection="1">
      <alignment horizontal="left" indent="1"/>
      <protection locked="0"/>
    </xf>
    <xf numFmtId="0" fontId="44" fillId="19" borderId="0" xfId="0" applyFont="1" applyFill="1" applyProtection="1"/>
    <xf numFmtId="0" fontId="45" fillId="19" borderId="0" xfId="0" applyFont="1" applyFill="1" applyAlignment="1" applyProtection="1">
      <alignment horizontal="right"/>
    </xf>
    <xf numFmtId="0" fontId="36" fillId="19" borderId="0" xfId="0" applyFont="1" applyFill="1" applyProtection="1"/>
    <xf numFmtId="0" fontId="46" fillId="19" borderId="0" xfId="0" applyFont="1" applyFill="1" applyProtection="1"/>
    <xf numFmtId="0" fontId="47" fillId="19" borderId="0" xfId="0" applyFont="1" applyFill="1" applyAlignment="1" applyProtection="1">
      <alignment horizontal="right"/>
    </xf>
    <xf numFmtId="49" fontId="46" fillId="19" borderId="0" xfId="0" applyNumberFormat="1" applyFont="1" applyFill="1" applyAlignment="1" applyProtection="1">
      <alignment horizontal="right"/>
    </xf>
    <xf numFmtId="49" fontId="47" fillId="19" borderId="0" xfId="0" applyNumberFormat="1" applyFont="1" applyFill="1" applyAlignment="1" applyProtection="1">
      <alignment horizontal="right"/>
    </xf>
    <xf numFmtId="0" fontId="46" fillId="19" borderId="0" xfId="0" applyFont="1" applyFill="1" applyAlignment="1" applyProtection="1">
      <alignment horizontal="right"/>
    </xf>
    <xf numFmtId="0" fontId="11" fillId="19" borderId="0" xfId="0" applyFont="1" applyFill="1" applyProtection="1">
      <protection locked="0"/>
    </xf>
    <xf numFmtId="0" fontId="7" fillId="0" borderId="10" xfId="0" applyFont="1" applyBorder="1" applyProtection="1">
      <protection hidden="1"/>
    </xf>
    <xf numFmtId="0" fontId="7" fillId="0" borderId="0" xfId="0" applyFont="1" applyProtection="1">
      <protection hidden="1"/>
    </xf>
    <xf numFmtId="0" fontId="7" fillId="0" borderId="0" xfId="0" applyFont="1" applyBorder="1" applyProtection="1">
      <protection hidden="1"/>
    </xf>
    <xf numFmtId="0" fontId="7" fillId="0" borderId="8" xfId="0" applyFont="1" applyBorder="1" applyProtection="1">
      <protection hidden="1"/>
    </xf>
    <xf numFmtId="0" fontId="32" fillId="0" borderId="0" xfId="0" applyFont="1" applyBorder="1" applyProtection="1">
      <protection hidden="1"/>
    </xf>
    <xf numFmtId="0" fontId="31" fillId="0" borderId="8" xfId="0" applyFont="1" applyBorder="1" applyProtection="1">
      <protection hidden="1"/>
    </xf>
    <xf numFmtId="0" fontId="9" fillId="0" borderId="117" xfId="0" applyFont="1" applyBorder="1" applyAlignment="1" applyProtection="1">
      <alignment horizontal="left" vertical="top" wrapText="1"/>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wrapText="1"/>
    </xf>
    <xf numFmtId="0" fontId="9" fillId="0" borderId="4" xfId="0" applyFont="1" applyFill="1" applyBorder="1" applyAlignment="1" applyProtection="1">
      <alignment horizontal="left" vertical="top" wrapText="1"/>
    </xf>
    <xf numFmtId="0" fontId="9" fillId="0" borderId="10" xfId="0" applyFont="1" applyFill="1" applyBorder="1" applyAlignment="1" applyProtection="1">
      <alignment horizontal="justify" vertical="center" wrapText="1"/>
      <protection locked="0"/>
    </xf>
    <xf numFmtId="0" fontId="9" fillId="0" borderId="12" xfId="0" applyFont="1" applyBorder="1" applyAlignment="1">
      <alignment vertical="center"/>
    </xf>
    <xf numFmtId="0" fontId="7" fillId="17" borderId="7" xfId="0" applyFont="1" applyFill="1" applyBorder="1" applyAlignment="1" applyProtection="1">
      <alignment vertical="center"/>
      <protection locked="0"/>
    </xf>
    <xf numFmtId="0" fontId="17" fillId="0" borderId="0" xfId="3" applyFont="1" applyAlignment="1" applyProtection="1"/>
    <xf numFmtId="0" fontId="7" fillId="0" borderId="0" xfId="0" applyFont="1" applyBorder="1" applyAlignment="1">
      <alignment vertical="center"/>
    </xf>
    <xf numFmtId="0" fontId="7" fillId="0" borderId="4" xfId="0" applyFont="1" applyBorder="1" applyAlignment="1">
      <alignment vertical="center"/>
    </xf>
    <xf numFmtId="0" fontId="7" fillId="0" borderId="10" xfId="0" applyFont="1" applyBorder="1" applyAlignment="1">
      <alignment vertical="center"/>
    </xf>
    <xf numFmtId="0" fontId="9" fillId="0" borderId="3" xfId="0" applyFont="1" applyFill="1" applyBorder="1" applyAlignment="1" applyProtection="1">
      <alignment horizontal="justify" vertical="center" wrapText="1"/>
    </xf>
    <xf numFmtId="0" fontId="9" fillId="0" borderId="8" xfId="0" applyFont="1" applyFill="1" applyBorder="1" applyAlignment="1" applyProtection="1">
      <alignment horizontal="justify" vertical="center" wrapText="1"/>
    </xf>
    <xf numFmtId="0" fontId="9" fillId="0" borderId="0" xfId="0" applyFont="1" applyBorder="1" applyAlignment="1" applyProtection="1">
      <alignment horizontal="justify" vertical="top" wrapText="1"/>
    </xf>
    <xf numFmtId="0" fontId="9" fillId="0" borderId="4" xfId="0" applyFont="1" applyFill="1" applyBorder="1" applyAlignment="1" applyProtection="1">
      <alignment horizontal="justify" vertical="center" wrapText="1"/>
    </xf>
    <xf numFmtId="0" fontId="9" fillId="0" borderId="10" xfId="0" applyFont="1" applyFill="1" applyBorder="1" applyAlignment="1" applyProtection="1">
      <alignment horizontal="justify" vertical="center" wrapText="1"/>
    </xf>
    <xf numFmtId="0" fontId="9" fillId="0" borderId="3" xfId="0" applyFont="1" applyFill="1" applyBorder="1" applyAlignment="1" applyProtection="1">
      <alignment horizontal="left" vertical="top" wrapText="1"/>
    </xf>
    <xf numFmtId="0" fontId="7" fillId="0" borderId="0" xfId="3" applyFont="1" applyBorder="1" applyAlignment="1" applyProtection="1"/>
    <xf numFmtId="0" fontId="9" fillId="0" borderId="0" xfId="0" applyFont="1" applyFill="1" applyBorder="1" applyAlignment="1" applyProtection="1">
      <alignment horizontal="left" vertical="top" wrapText="1"/>
      <protection locked="0"/>
    </xf>
    <xf numFmtId="0" fontId="9" fillId="0" borderId="4" xfId="0" applyFont="1" applyFill="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17" borderId="8" xfId="0" applyFont="1" applyFill="1" applyBorder="1" applyAlignment="1" applyProtection="1">
      <alignment horizontal="left" vertical="top" wrapText="1"/>
      <protection locked="0"/>
    </xf>
    <xf numFmtId="0" fontId="9" fillId="0" borderId="0" xfId="0" applyFont="1" applyFill="1" applyBorder="1" applyAlignment="1" applyProtection="1">
      <alignment horizontal="justify" vertical="top" wrapText="1"/>
    </xf>
    <xf numFmtId="0" fontId="7" fillId="0" borderId="4" xfId="0" applyFont="1" applyBorder="1" applyAlignment="1" applyProtection="1">
      <alignment horizontal="justify" vertical="top" wrapText="1"/>
    </xf>
    <xf numFmtId="0" fontId="7" fillId="0" borderId="10" xfId="0" applyFont="1" applyBorder="1" applyAlignment="1" applyProtection="1">
      <alignment horizontal="justify" vertical="top" wrapText="1"/>
    </xf>
    <xf numFmtId="0" fontId="7" fillId="0" borderId="0" xfId="0" applyFont="1" applyAlignment="1" applyProtection="1">
      <alignment vertical="center"/>
      <protection hidden="1"/>
    </xf>
    <xf numFmtId="0" fontId="9" fillId="0" borderId="117" xfId="0" applyFont="1" applyBorder="1" applyAlignment="1" applyProtection="1">
      <alignment horizontal="justify" wrapText="1"/>
    </xf>
    <xf numFmtId="0" fontId="7" fillId="0" borderId="118" xfId="0" applyFont="1" applyBorder="1" applyAlignment="1" applyProtection="1">
      <alignment horizontal="justify" wrapText="1"/>
    </xf>
    <xf numFmtId="0" fontId="7" fillId="0" borderId="17" xfId="0" applyFont="1" applyBorder="1" applyAlignment="1" applyProtection="1">
      <alignment horizontal="justify" wrapText="1"/>
    </xf>
    <xf numFmtId="0" fontId="7" fillId="17" borderId="34" xfId="0" applyFont="1" applyFill="1" applyBorder="1" applyAlignment="1" applyProtection="1">
      <alignment horizontal="justify" wrapText="1"/>
      <protection locked="0"/>
    </xf>
    <xf numFmtId="0" fontId="7" fillId="0" borderId="12" xfId="0" applyFont="1" applyBorder="1" applyAlignment="1" applyProtection="1">
      <alignment horizontal="justify" wrapText="1"/>
    </xf>
    <xf numFmtId="181" fontId="7" fillId="17" borderId="7" xfId="0" applyNumberFormat="1" applyFont="1" applyFill="1" applyBorder="1" applyAlignment="1" applyProtection="1">
      <alignment horizontal="justify" wrapText="1"/>
      <protection locked="0"/>
    </xf>
    <xf numFmtId="0" fontId="7" fillId="0" borderId="4" xfId="0" applyFont="1" applyFill="1" applyBorder="1" applyAlignment="1" applyProtection="1">
      <alignment horizontal="justify" wrapText="1"/>
    </xf>
    <xf numFmtId="181" fontId="7" fillId="0" borderId="10" xfId="0" applyNumberFormat="1" applyFont="1" applyFill="1" applyBorder="1" applyAlignment="1" applyProtection="1">
      <alignment horizontal="justify" wrapText="1"/>
      <protection locked="0"/>
    </xf>
    <xf numFmtId="0" fontId="9" fillId="0" borderId="17" xfId="0" applyFont="1" applyBorder="1" applyAlignment="1" applyProtection="1">
      <alignment horizontal="justify" wrapText="1"/>
    </xf>
    <xf numFmtId="0" fontId="7" fillId="0" borderId="34" xfId="0" applyFont="1" applyBorder="1" applyAlignment="1" applyProtection="1">
      <alignment horizontal="justify" wrapText="1"/>
    </xf>
    <xf numFmtId="0" fontId="7" fillId="0" borderId="34" xfId="0" applyFont="1" applyFill="1" applyBorder="1" applyAlignment="1" applyProtection="1">
      <alignment horizontal="justify" wrapText="1"/>
    </xf>
    <xf numFmtId="0" fontId="7" fillId="17" borderId="7" xfId="0" applyFont="1" applyFill="1" applyBorder="1" applyAlignment="1" applyProtection="1">
      <alignment horizontal="justify" wrapText="1"/>
      <protection locked="0"/>
    </xf>
    <xf numFmtId="0" fontId="7" fillId="0" borderId="10" xfId="0" applyFont="1" applyFill="1" applyBorder="1" applyAlignment="1" applyProtection="1">
      <alignment horizontal="justify" wrapText="1"/>
      <protection locked="0"/>
    </xf>
    <xf numFmtId="0" fontId="7" fillId="17" borderId="34" xfId="0" applyNumberFormat="1" applyFont="1" applyFill="1" applyBorder="1" applyAlignment="1" applyProtection="1">
      <alignment horizontal="justify" wrapText="1"/>
      <protection locked="0"/>
    </xf>
    <xf numFmtId="0" fontId="7" fillId="0" borderId="3" xfId="0" applyFont="1" applyBorder="1" applyAlignment="1" applyProtection="1">
      <alignment horizontal="justify" wrapText="1"/>
    </xf>
    <xf numFmtId="0" fontId="37" fillId="17" borderId="7" xfId="2" applyFont="1" applyFill="1" applyBorder="1" applyAlignment="1" applyProtection="1">
      <alignment horizontal="justify" wrapText="1"/>
      <protection locked="0"/>
    </xf>
    <xf numFmtId="0" fontId="9" fillId="0" borderId="17" xfId="0" applyFont="1" applyBorder="1" applyAlignment="1" applyProtection="1">
      <alignment horizontal="left"/>
    </xf>
    <xf numFmtId="0" fontId="7" fillId="0" borderId="3" xfId="0" applyFont="1" applyFill="1" applyBorder="1" applyAlignment="1" applyProtection="1">
      <alignment horizontal="justify" wrapText="1"/>
    </xf>
    <xf numFmtId="0" fontId="7" fillId="0" borderId="8" xfId="0" applyFont="1" applyFill="1" applyBorder="1" applyAlignment="1" applyProtection="1">
      <alignment horizontal="justify" wrapText="1"/>
      <protection locked="0"/>
    </xf>
    <xf numFmtId="0" fontId="7" fillId="0" borderId="0" xfId="3" applyFont="1" applyAlignment="1" applyProtection="1">
      <protection hidden="1"/>
    </xf>
    <xf numFmtId="0" fontId="37" fillId="0" borderId="0" xfId="3" applyFont="1" applyAlignment="1" applyProtection="1">
      <protection hidden="1"/>
    </xf>
    <xf numFmtId="0" fontId="37" fillId="0" borderId="0" xfId="3" applyFont="1" applyAlignment="1" applyProtection="1">
      <protection locked="0" hidden="1"/>
    </xf>
    <xf numFmtId="0" fontId="7" fillId="0" borderId="0" xfId="0" applyFont="1" applyProtection="1">
      <protection locked="0" hidden="1"/>
    </xf>
    <xf numFmtId="0" fontId="9" fillId="0" borderId="0" xfId="0" applyNumberFormat="1" applyFont="1" applyFill="1" applyBorder="1" applyAlignment="1">
      <alignment horizontal="left"/>
    </xf>
    <xf numFmtId="0" fontId="14"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top" wrapText="1"/>
    </xf>
    <xf numFmtId="0" fontId="12" fillId="0" borderId="0" xfId="0" applyNumberFormat="1" applyFont="1" applyFill="1" applyBorder="1" applyAlignment="1">
      <alignment horizontal="left" indent="1"/>
    </xf>
    <xf numFmtId="0" fontId="12" fillId="0" borderId="0" xfId="0" applyNumberFormat="1" applyFont="1" applyFill="1" applyBorder="1" applyAlignment="1">
      <alignment horizontal="center"/>
    </xf>
    <xf numFmtId="173" fontId="12" fillId="0" borderId="0" xfId="1" applyNumberFormat="1" applyFont="1" applyFill="1" applyBorder="1"/>
    <xf numFmtId="169" fontId="14" fillId="0" borderId="0" xfId="0" applyNumberFormat="1" applyFont="1" applyFill="1" applyBorder="1"/>
    <xf numFmtId="0" fontId="12" fillId="0" borderId="0" xfId="0" quotePrefix="1" applyNumberFormat="1" applyFont="1" applyFill="1" applyBorder="1" applyAlignment="1">
      <alignment horizontal="center"/>
    </xf>
    <xf numFmtId="0" fontId="14" fillId="0" borderId="0" xfId="0" applyNumberFormat="1" applyFont="1" applyFill="1" applyBorder="1"/>
    <xf numFmtId="0" fontId="12" fillId="0" borderId="0" xfId="0" applyNumberFormat="1" applyFont="1" applyFill="1" applyBorder="1"/>
    <xf numFmtId="0" fontId="16" fillId="0" borderId="0" xfId="0" applyNumberFormat="1" applyFont="1" applyFill="1" applyBorder="1"/>
    <xf numFmtId="175" fontId="12" fillId="0" borderId="0" xfId="0" applyNumberFormat="1" applyFont="1" applyFill="1" applyBorder="1" applyProtection="1">
      <protection locked="0"/>
    </xf>
    <xf numFmtId="168" fontId="12" fillId="0" borderId="0" xfId="0" applyNumberFormat="1" applyFont="1" applyFill="1" applyBorder="1" applyProtection="1">
      <protection locked="0"/>
    </xf>
    <xf numFmtId="0" fontId="12" fillId="0" borderId="0" xfId="0" applyNumberFormat="1" applyFont="1" applyFill="1" applyBorder="1" applyAlignment="1" applyProtection="1">
      <alignment horizontal="center"/>
      <protection locked="0"/>
    </xf>
    <xf numFmtId="0" fontId="12" fillId="0" borderId="0" xfId="1" applyNumberFormat="1" applyFont="1" applyFill="1" applyBorder="1" applyAlignment="1" applyProtection="1">
      <alignment horizontal="center"/>
      <protection locked="0"/>
    </xf>
    <xf numFmtId="173" fontId="12" fillId="0" borderId="0" xfId="1" applyNumberFormat="1" applyFont="1" applyFill="1" applyBorder="1" applyProtection="1">
      <protection locked="0"/>
    </xf>
    <xf numFmtId="173" fontId="12" fillId="0" borderId="0" xfId="0" applyNumberFormat="1" applyFont="1" applyFill="1" applyBorder="1" applyProtection="1">
      <protection locked="0"/>
    </xf>
    <xf numFmtId="0" fontId="14" fillId="0" borderId="0" xfId="0" applyNumberFormat="1" applyFont="1" applyFill="1" applyBorder="1" applyAlignment="1">
      <alignment horizontal="center"/>
    </xf>
    <xf numFmtId="173" fontId="14" fillId="0" borderId="0" xfId="0" applyNumberFormat="1" applyFont="1" applyFill="1" applyBorder="1" applyProtection="1">
      <protection locked="0"/>
    </xf>
    <xf numFmtId="177" fontId="12" fillId="0" borderId="0" xfId="1" applyNumberFormat="1" applyFont="1" applyFill="1" applyBorder="1" applyProtection="1">
      <protection locked="0"/>
    </xf>
    <xf numFmtId="170" fontId="12" fillId="0" borderId="0" xfId="6" applyNumberFormat="1" applyFont="1" applyFill="1" applyBorder="1" applyAlignment="1" applyProtection="1">
      <alignment horizontal="center"/>
      <protection locked="0"/>
    </xf>
    <xf numFmtId="174" fontId="12" fillId="0" borderId="0" xfId="1" applyNumberFormat="1" applyFont="1" applyFill="1" applyBorder="1" applyProtection="1">
      <protection locked="0"/>
    </xf>
    <xf numFmtId="0" fontId="18" fillId="0" borderId="0" xfId="0" applyNumberFormat="1" applyFont="1" applyFill="1" applyBorder="1" applyProtection="1"/>
    <xf numFmtId="0" fontId="17" fillId="0" borderId="0" xfId="0" quotePrefix="1" applyNumberFormat="1" applyFont="1" applyFill="1" applyBorder="1" applyProtection="1"/>
    <xf numFmtId="0" fontId="14" fillId="0" borderId="66" xfId="0" applyFont="1" applyFill="1" applyBorder="1" applyAlignment="1">
      <alignment horizontal="center" vertical="center" wrapText="1"/>
    </xf>
    <xf numFmtId="0" fontId="5" fillId="10" borderId="0" xfId="0" applyFont="1" applyFill="1" applyAlignment="1">
      <alignment horizontal="left" indent="1"/>
    </xf>
    <xf numFmtId="0" fontId="2" fillId="0" borderId="0" xfId="0" applyFont="1" applyAlignment="1">
      <alignment horizontal="left" indent="1"/>
    </xf>
    <xf numFmtId="174" fontId="12" fillId="17" borderId="60" xfId="0" applyNumberFormat="1" applyFont="1" applyFill="1" applyBorder="1" applyAlignment="1" applyProtection="1">
      <alignment vertical="top" wrapText="1"/>
      <protection locked="0"/>
    </xf>
    <xf numFmtId="174" fontId="12" fillId="17" borderId="61" xfId="0" applyNumberFormat="1" applyFont="1" applyFill="1" applyBorder="1" applyAlignment="1" applyProtection="1">
      <alignment vertical="top" wrapText="1"/>
      <protection locked="0"/>
    </xf>
    <xf numFmtId="174" fontId="12" fillId="17" borderId="62" xfId="0" applyNumberFormat="1" applyFont="1" applyFill="1" applyBorder="1" applyAlignment="1" applyProtection="1">
      <alignment vertical="top" wrapText="1"/>
      <protection locked="0"/>
    </xf>
    <xf numFmtId="174" fontId="12" fillId="17" borderId="59" xfId="0" applyNumberFormat="1" applyFont="1" applyFill="1" applyBorder="1" applyAlignment="1" applyProtection="1">
      <alignment vertical="top" wrapText="1"/>
      <protection locked="0"/>
    </xf>
    <xf numFmtId="174" fontId="12" fillId="17" borderId="63" xfId="0" applyNumberFormat="1" applyFont="1" applyFill="1" applyBorder="1" applyAlignment="1" applyProtection="1">
      <alignment vertical="top" wrapText="1"/>
      <protection locked="0"/>
    </xf>
    <xf numFmtId="0" fontId="14" fillId="0" borderId="59" xfId="0" applyFont="1" applyFill="1" applyBorder="1" applyAlignment="1" applyProtection="1">
      <alignment vertical="top"/>
      <protection locked="0"/>
    </xf>
    <xf numFmtId="0" fontId="12" fillId="0" borderId="59" xfId="0" applyFont="1" applyFill="1" applyBorder="1" applyAlignment="1" applyProtection="1">
      <alignment vertical="top" wrapText="1"/>
      <protection locked="0"/>
    </xf>
    <xf numFmtId="0" fontId="12" fillId="0" borderId="105" xfId="0" applyFont="1" applyFill="1" applyBorder="1" applyAlignment="1" applyProtection="1">
      <alignment vertical="top" wrapText="1"/>
      <protection locked="0"/>
    </xf>
    <xf numFmtId="0" fontId="14" fillId="0" borderId="9" xfId="0" applyFont="1" applyBorder="1"/>
    <xf numFmtId="0" fontId="14" fillId="0" borderId="93" xfId="0" applyFont="1" applyBorder="1"/>
    <xf numFmtId="0" fontId="14" fillId="0" borderId="62" xfId="0" applyFont="1" applyFill="1" applyBorder="1" applyAlignment="1" applyProtection="1">
      <alignment vertical="top"/>
      <protection locked="0"/>
    </xf>
    <xf numFmtId="0" fontId="14" fillId="0" borderId="105" xfId="0" applyFont="1" applyFill="1" applyBorder="1" applyAlignment="1" applyProtection="1">
      <alignment horizontal="center" vertical="top" wrapText="1"/>
      <protection locked="0"/>
    </xf>
    <xf numFmtId="0" fontId="46" fillId="19" borderId="0" xfId="0" applyFont="1" applyFill="1" applyProtection="1">
      <protection locked="0"/>
    </xf>
    <xf numFmtId="0" fontId="46" fillId="19" borderId="3" xfId="0" applyFont="1" applyFill="1" applyBorder="1" applyAlignment="1" applyProtection="1">
      <alignment horizontal="left" indent="1"/>
      <protection locked="0"/>
    </xf>
    <xf numFmtId="0" fontId="17" fillId="17" borderId="73" xfId="0" applyNumberFormat="1" applyFont="1" applyFill="1" applyBorder="1" applyAlignment="1" applyProtection="1">
      <alignment horizontal="center"/>
      <protection locked="0"/>
    </xf>
    <xf numFmtId="0" fontId="17" fillId="17" borderId="9" xfId="0" applyNumberFormat="1" applyFont="1" applyFill="1" applyBorder="1" applyAlignment="1" applyProtection="1">
      <alignment horizontal="center"/>
      <protection locked="0"/>
    </xf>
    <xf numFmtId="0" fontId="17" fillId="0" borderId="75" xfId="0" applyNumberFormat="1" applyFont="1" applyFill="1" applyBorder="1" applyAlignment="1">
      <alignment horizontal="center"/>
    </xf>
    <xf numFmtId="0" fontId="17" fillId="0" borderId="76" xfId="0" applyNumberFormat="1" applyFont="1" applyFill="1" applyBorder="1" applyAlignment="1" applyProtection="1">
      <alignment horizontal="center"/>
    </xf>
    <xf numFmtId="0" fontId="17" fillId="0" borderId="76" xfId="0" applyNumberFormat="1" applyFont="1" applyFill="1" applyBorder="1" applyAlignment="1">
      <alignment horizontal="center"/>
    </xf>
    <xf numFmtId="0" fontId="17" fillId="17" borderId="76" xfId="0" applyNumberFormat="1" applyFont="1" applyFill="1" applyBorder="1" applyAlignment="1" applyProtection="1">
      <alignment horizontal="center"/>
      <protection locked="0"/>
    </xf>
    <xf numFmtId="0" fontId="14" fillId="0" borderId="86" xfId="0" applyNumberFormat="1" applyFont="1" applyBorder="1"/>
    <xf numFmtId="0" fontId="14" fillId="0" borderId="101" xfId="0" applyFont="1" applyFill="1" applyBorder="1" applyAlignment="1">
      <alignment horizontal="center" vertical="top" wrapText="1"/>
    </xf>
    <xf numFmtId="0" fontId="17" fillId="17" borderId="97" xfId="0" applyNumberFormat="1" applyFont="1" applyFill="1" applyBorder="1" applyAlignment="1" applyProtection="1">
      <alignment horizontal="center"/>
      <protection locked="0"/>
    </xf>
    <xf numFmtId="0" fontId="12" fillId="0" borderId="76" xfId="0" applyNumberFormat="1" applyFont="1" applyFill="1" applyBorder="1"/>
    <xf numFmtId="0" fontId="17" fillId="17" borderId="77" xfId="0" applyNumberFormat="1" applyFont="1" applyFill="1" applyBorder="1" applyAlignment="1" applyProtection="1">
      <alignment horizontal="center"/>
      <protection locked="0"/>
    </xf>
    <xf numFmtId="0" fontId="7" fillId="0" borderId="9" xfId="0" applyFont="1" applyFill="1" applyBorder="1" applyAlignment="1">
      <alignment horizontal="center"/>
    </xf>
    <xf numFmtId="0" fontId="12" fillId="0" borderId="7" xfId="0" applyNumberFormat="1" applyFont="1" applyBorder="1" applyAlignment="1">
      <alignment horizontal="left" vertical="top" wrapText="1"/>
    </xf>
    <xf numFmtId="0" fontId="12" fillId="17" borderId="8" xfId="0" applyNumberFormat="1" applyFont="1" applyFill="1" applyBorder="1" applyAlignment="1" applyProtection="1">
      <alignment horizontal="left" vertical="top" wrapText="1"/>
      <protection locked="0"/>
    </xf>
    <xf numFmtId="0" fontId="12" fillId="17" borderId="72" xfId="0" applyNumberFormat="1" applyFont="1" applyFill="1" applyBorder="1" applyAlignment="1" applyProtection="1">
      <alignment horizontal="left" vertical="top" wrapText="1"/>
      <protection locked="0"/>
    </xf>
    <xf numFmtId="0" fontId="16" fillId="0" borderId="8" xfId="0" applyNumberFormat="1" applyFont="1" applyBorder="1" applyAlignment="1">
      <alignment horizontal="left" wrapText="1"/>
    </xf>
    <xf numFmtId="0" fontId="12" fillId="0" borderId="8" xfId="0" applyNumberFormat="1" applyFont="1" applyBorder="1" applyAlignment="1">
      <alignment horizontal="left" vertical="top" wrapText="1"/>
    </xf>
    <xf numFmtId="0" fontId="12" fillId="0" borderId="98" xfId="0" applyNumberFormat="1" applyFont="1" applyFill="1" applyBorder="1" applyAlignment="1" applyProtection="1">
      <alignment horizontal="center" vertical="top" wrapText="1"/>
    </xf>
    <xf numFmtId="0" fontId="12" fillId="0" borderId="72"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indent="1"/>
      <protection locked="0"/>
    </xf>
    <xf numFmtId="0" fontId="12" fillId="0" borderId="1" xfId="0" applyNumberFormat="1" applyFont="1" applyFill="1" applyBorder="1" applyAlignment="1" applyProtection="1">
      <alignment horizontal="center" vertical="top" wrapText="1"/>
      <protection locked="0"/>
    </xf>
    <xf numFmtId="0" fontId="12" fillId="0" borderId="8" xfId="0" applyNumberFormat="1" applyFont="1" applyFill="1" applyBorder="1" applyAlignment="1" applyProtection="1">
      <alignment horizontal="left" vertical="top" wrapText="1"/>
      <protection locked="0"/>
    </xf>
    <xf numFmtId="164" fontId="12" fillId="0" borderId="76" xfId="1" applyNumberFormat="1" applyFont="1" applyFill="1" applyBorder="1" applyAlignment="1" applyProtection="1">
      <alignment horizontal="left" vertical="top" wrapText="1"/>
    </xf>
    <xf numFmtId="164" fontId="12" fillId="0" borderId="3" xfId="1" applyNumberFormat="1" applyFont="1" applyFill="1" applyBorder="1" applyAlignment="1" applyProtection="1">
      <alignment horizontal="center" vertical="top" wrapText="1"/>
    </xf>
    <xf numFmtId="164" fontId="12" fillId="0" borderId="42" xfId="1" applyNumberFormat="1" applyFont="1" applyFill="1" applyBorder="1" applyAlignment="1" applyProtection="1">
      <alignment horizontal="center" vertical="top" wrapText="1"/>
    </xf>
    <xf numFmtId="164" fontId="12" fillId="0" borderId="67" xfId="1" applyNumberFormat="1" applyFont="1" applyFill="1" applyBorder="1" applyAlignment="1" applyProtection="1">
      <alignment horizontal="center" vertical="top" wrapText="1"/>
    </xf>
    <xf numFmtId="164" fontId="12" fillId="0" borderId="1" xfId="1" applyNumberFormat="1" applyFont="1" applyFill="1" applyBorder="1" applyAlignment="1" applyProtection="1">
      <alignment horizontal="center" vertical="top" wrapText="1"/>
    </xf>
    <xf numFmtId="164" fontId="12" fillId="0" borderId="0" xfId="1" applyNumberFormat="1" applyFont="1" applyFill="1" applyBorder="1" applyAlignment="1" applyProtection="1">
      <alignment horizontal="center" vertical="top" wrapText="1"/>
    </xf>
    <xf numFmtId="164" fontId="12" fillId="0" borderId="8" xfId="1" applyNumberFormat="1" applyFont="1" applyFill="1" applyBorder="1" applyAlignment="1" applyProtection="1">
      <alignment horizontal="center" vertical="top" wrapText="1"/>
    </xf>
    <xf numFmtId="0" fontId="14" fillId="0" borderId="68" xfId="0" applyNumberFormat="1" applyFont="1" applyFill="1" applyBorder="1" applyAlignment="1" applyProtection="1">
      <alignment horizontal="left" vertical="top" wrapText="1" indent="1"/>
      <protection locked="0"/>
    </xf>
    <xf numFmtId="0" fontId="12" fillId="0" borderId="98" xfId="0" applyNumberFormat="1" applyFont="1" applyFill="1" applyBorder="1" applyAlignment="1" applyProtection="1">
      <alignment horizontal="center" vertical="top" wrapText="1"/>
      <protection locked="0"/>
    </xf>
    <xf numFmtId="0" fontId="12" fillId="0" borderId="72" xfId="0" applyNumberFormat="1" applyFont="1" applyFill="1" applyBorder="1" applyAlignment="1" applyProtection="1">
      <alignment horizontal="left" vertical="top" wrapText="1"/>
      <protection locked="0"/>
    </xf>
    <xf numFmtId="164" fontId="12" fillId="0" borderId="87" xfId="1" applyNumberFormat="1" applyFont="1" applyFill="1" applyBorder="1" applyAlignment="1" applyProtection="1">
      <alignment horizontal="left" vertical="top" wrapText="1"/>
    </xf>
    <xf numFmtId="164" fontId="12" fillId="0" borderId="86" xfId="1" applyNumberFormat="1" applyFont="1" applyFill="1" applyBorder="1" applyAlignment="1" applyProtection="1">
      <alignment horizontal="left" vertical="top" wrapText="1"/>
    </xf>
    <xf numFmtId="164" fontId="12" fillId="0" borderId="62" xfId="1" applyNumberFormat="1" applyFont="1" applyFill="1" applyBorder="1" applyAlignment="1" applyProtection="1">
      <alignment horizontal="center" vertical="top" wrapText="1"/>
    </xf>
    <xf numFmtId="164" fontId="12" fillId="0" borderId="60" xfId="1" applyNumberFormat="1" applyFont="1" applyFill="1" applyBorder="1" applyAlignment="1" applyProtection="1">
      <alignment horizontal="center" vertical="top" wrapText="1"/>
    </xf>
    <xf numFmtId="164" fontId="12" fillId="0" borderId="102" xfId="1" applyNumberFormat="1" applyFont="1" applyFill="1" applyBorder="1" applyAlignment="1" applyProtection="1">
      <alignment horizontal="center" vertical="top" wrapText="1"/>
    </xf>
    <xf numFmtId="164" fontId="12" fillId="0" borderId="87" xfId="1" applyNumberFormat="1" applyFont="1" applyFill="1" applyBorder="1" applyAlignment="1" applyProtection="1">
      <alignment horizontal="center" vertical="top" wrapText="1"/>
    </xf>
    <xf numFmtId="164" fontId="12" fillId="0" borderId="59" xfId="1" applyNumberFormat="1" applyFont="1" applyFill="1" applyBorder="1" applyAlignment="1" applyProtection="1">
      <alignment horizontal="center" vertical="top" wrapText="1"/>
    </xf>
    <xf numFmtId="164" fontId="12" fillId="0" borderId="61" xfId="1" applyNumberFormat="1" applyFont="1" applyFill="1" applyBorder="1" applyAlignment="1" applyProtection="1">
      <alignment horizontal="center" vertical="top" wrapText="1"/>
    </xf>
    <xf numFmtId="0" fontId="12" fillId="0" borderId="5" xfId="0" applyFont="1" applyBorder="1" applyAlignment="1">
      <alignment horizontal="center" vertical="top" wrapText="1"/>
    </xf>
    <xf numFmtId="0" fontId="12" fillId="0" borderId="10" xfId="0" applyFont="1" applyBorder="1" applyAlignment="1">
      <alignment horizontal="left" vertical="top" wrapText="1"/>
    </xf>
    <xf numFmtId="0" fontId="27" fillId="0" borderId="0" xfId="0" applyFont="1"/>
    <xf numFmtId="174" fontId="7" fillId="0" borderId="11" xfId="0" applyNumberFormat="1" applyFont="1" applyFill="1" applyBorder="1" applyAlignment="1" applyProtection="1">
      <alignment horizontal="center"/>
      <protection locked="0"/>
    </xf>
    <xf numFmtId="0" fontId="12" fillId="0" borderId="6" xfId="0" applyFont="1" applyBorder="1"/>
    <xf numFmtId="0" fontId="12" fillId="0" borderId="7" xfId="0" applyFont="1" applyBorder="1"/>
    <xf numFmtId="0" fontId="14" fillId="0" borderId="92" xfId="0" applyFont="1" applyFill="1" applyBorder="1" applyAlignment="1" applyProtection="1">
      <alignment horizontal="center" vertical="center" wrapText="1"/>
    </xf>
    <xf numFmtId="0" fontId="12" fillId="0" borderId="5" xfId="0" applyFont="1" applyFill="1" applyBorder="1" applyAlignment="1">
      <alignment horizontal="center"/>
    </xf>
    <xf numFmtId="0" fontId="14" fillId="0" borderId="47"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2" fillId="0" borderId="1" xfId="0" applyFont="1" applyFill="1" applyBorder="1" applyAlignment="1">
      <alignment horizontal="center"/>
    </xf>
    <xf numFmtId="0" fontId="16" fillId="0" borderId="0" xfId="0" applyNumberFormat="1" applyFont="1" applyBorder="1" applyProtection="1"/>
    <xf numFmtId="174" fontId="7" fillId="0" borderId="43" xfId="0" applyNumberFormat="1" applyFont="1" applyFill="1" applyBorder="1" applyProtection="1">
      <protection locked="0"/>
    </xf>
    <xf numFmtId="174" fontId="7" fillId="0" borderId="75" xfId="0" applyNumberFormat="1" applyFont="1" applyFill="1" applyBorder="1" applyProtection="1">
      <protection locked="0"/>
    </xf>
    <xf numFmtId="174" fontId="14" fillId="0" borderId="12" xfId="0" applyNumberFormat="1" applyFont="1" applyFill="1" applyBorder="1" applyProtection="1"/>
    <xf numFmtId="174" fontId="14" fillId="0" borderId="43" xfId="0" applyNumberFormat="1" applyFont="1" applyFill="1" applyBorder="1" applyProtection="1"/>
    <xf numFmtId="174" fontId="14" fillId="0" borderId="6" xfId="0" applyNumberFormat="1" applyFont="1" applyFill="1" applyBorder="1" applyProtection="1"/>
    <xf numFmtId="174" fontId="14" fillId="0" borderId="45" xfId="0" applyNumberFormat="1" applyFont="1" applyFill="1" applyBorder="1" applyProtection="1"/>
    <xf numFmtId="174" fontId="14" fillId="0" borderId="7" xfId="0" applyNumberFormat="1" applyFont="1" applyFill="1" applyBorder="1" applyProtection="1"/>
    <xf numFmtId="0" fontId="20" fillId="0" borderId="0" xfId="0" applyNumberFormat="1" applyFont="1" applyBorder="1" applyAlignment="1" applyProtection="1">
      <alignment horizontal="left"/>
    </xf>
    <xf numFmtId="0" fontId="12" fillId="0" borderId="0" xfId="0" applyNumberFormat="1" applyFont="1" applyBorder="1" applyAlignment="1" applyProtection="1">
      <alignment horizontal="left" indent="1"/>
    </xf>
    <xf numFmtId="0" fontId="12" fillId="0" borderId="1" xfId="0" applyNumberFormat="1" applyFont="1" applyFill="1" applyBorder="1" applyAlignment="1" applyProtection="1">
      <alignment horizontal="center"/>
    </xf>
    <xf numFmtId="0" fontId="17" fillId="0" borderId="0" xfId="0" applyNumberFormat="1" applyFont="1" applyBorder="1" applyAlignment="1" applyProtection="1">
      <alignment horizontal="right" indent="1"/>
    </xf>
    <xf numFmtId="0" fontId="14" fillId="0" borderId="0" xfId="0" applyNumberFormat="1" applyFont="1" applyBorder="1" applyAlignment="1" applyProtection="1">
      <alignment horizontal="left"/>
    </xf>
    <xf numFmtId="0" fontId="12" fillId="0" borderId="73" xfId="0" applyNumberFormat="1" applyFont="1" applyBorder="1" applyProtection="1"/>
    <xf numFmtId="174" fontId="14" fillId="17" borderId="9" xfId="0" applyNumberFormat="1" applyFont="1" applyFill="1" applyBorder="1" applyProtection="1">
      <protection locked="0"/>
    </xf>
    <xf numFmtId="174" fontId="14" fillId="0" borderId="0" xfId="0" applyNumberFormat="1" applyFont="1" applyFill="1" applyBorder="1" applyProtection="1">
      <protection locked="0"/>
    </xf>
    <xf numFmtId="0" fontId="12" fillId="0" borderId="9" xfId="0" applyNumberFormat="1" applyFont="1" applyBorder="1" applyProtection="1"/>
    <xf numFmtId="174" fontId="12" fillId="0" borderId="64" xfId="0" applyNumberFormat="1" applyFont="1" applyFill="1" applyBorder="1" applyProtection="1"/>
    <xf numFmtId="174" fontId="12" fillId="0" borderId="36" xfId="0" applyNumberFormat="1" applyFont="1" applyFill="1" applyBorder="1" applyProtection="1"/>
    <xf numFmtId="174" fontId="12" fillId="0" borderId="10" xfId="0" applyNumberFormat="1" applyFont="1" applyFill="1" applyBorder="1" applyProtection="1"/>
    <xf numFmtId="174" fontId="12" fillId="0" borderId="4" xfId="0" applyNumberFormat="1" applyFont="1" applyFill="1" applyBorder="1" applyProtection="1"/>
    <xf numFmtId="174" fontId="12" fillId="0" borderId="9" xfId="0" applyNumberFormat="1" applyFont="1" applyFill="1" applyBorder="1" applyProtection="1"/>
    <xf numFmtId="0" fontId="17" fillId="0" borderId="0" xfId="0" applyFont="1" applyAlignment="1" applyProtection="1">
      <alignment horizontal="center"/>
    </xf>
    <xf numFmtId="0" fontId="14" fillId="0" borderId="38" xfId="0" applyFont="1" applyFill="1" applyBorder="1" applyAlignment="1">
      <alignment horizontal="center" vertical="top" wrapText="1"/>
    </xf>
    <xf numFmtId="0" fontId="14" fillId="0" borderId="41" xfId="0" applyFont="1" applyFill="1" applyBorder="1" applyAlignment="1">
      <alignment horizontal="center" vertical="top" wrapText="1"/>
    </xf>
    <xf numFmtId="0" fontId="14" fillId="0" borderId="119" xfId="0" applyFont="1" applyFill="1" applyBorder="1" applyAlignment="1">
      <alignment horizontal="center" vertical="top" wrapText="1"/>
    </xf>
    <xf numFmtId="0" fontId="14" fillId="0" borderId="82" xfId="0" applyFont="1" applyFill="1" applyBorder="1" applyAlignment="1">
      <alignment horizontal="center" vertical="top" wrapText="1"/>
    </xf>
    <xf numFmtId="0" fontId="14" fillId="0" borderId="100" xfId="0" applyFont="1" applyFill="1" applyBorder="1" applyAlignment="1">
      <alignment horizontal="center" vertical="top" wrapText="1"/>
    </xf>
    <xf numFmtId="0" fontId="14" fillId="0" borderId="88" xfId="0" applyFont="1" applyFill="1" applyBorder="1" applyAlignment="1">
      <alignment horizontal="center" vertical="top" wrapText="1"/>
    </xf>
    <xf numFmtId="0" fontId="14" fillId="0" borderId="56" xfId="0" applyFont="1" applyFill="1" applyBorder="1" applyAlignment="1">
      <alignment horizontal="center" vertical="top" wrapText="1"/>
    </xf>
    <xf numFmtId="0" fontId="14" fillId="0" borderId="84" xfId="0" applyFont="1" applyFill="1" applyBorder="1" applyAlignment="1">
      <alignment horizontal="center" vertical="top" wrapText="1"/>
    </xf>
    <xf numFmtId="0" fontId="12" fillId="0" borderId="7"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xf>
    <xf numFmtId="0" fontId="12" fillId="0" borderId="72"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74" fontId="14" fillId="17" borderId="1" xfId="0" applyNumberFormat="1" applyFont="1" applyFill="1" applyBorder="1" applyProtection="1">
      <protection locked="0"/>
    </xf>
    <xf numFmtId="0" fontId="12" fillId="0" borderId="3" xfId="0" applyNumberFormat="1" applyFont="1" applyFill="1" applyBorder="1" applyAlignment="1" applyProtection="1">
      <alignment horizontal="left" vertical="top" wrapText="1" indent="1"/>
      <protection locked="0"/>
    </xf>
    <xf numFmtId="0" fontId="17" fillId="0" borderId="68" xfId="0" applyNumberFormat="1" applyFont="1" applyFill="1" applyBorder="1" applyAlignment="1" applyProtection="1">
      <alignment horizontal="left" vertical="top" wrapText="1" indent="1"/>
      <protection locked="0"/>
    </xf>
    <xf numFmtId="0" fontId="12" fillId="0" borderId="11" xfId="0" applyNumberFormat="1" applyFont="1" applyFill="1" applyBorder="1" applyAlignment="1">
      <alignment horizontal="center" wrapText="1"/>
    </xf>
    <xf numFmtId="0" fontId="12" fillId="0" borderId="1" xfId="0" applyNumberFormat="1" applyFont="1" applyFill="1" applyBorder="1" applyAlignment="1">
      <alignment horizontal="center" wrapText="1"/>
    </xf>
    <xf numFmtId="0" fontId="12" fillId="0" borderId="1" xfId="0" applyNumberFormat="1" applyFont="1" applyFill="1" applyBorder="1" applyAlignment="1">
      <alignment horizontal="center" vertical="top" wrapText="1"/>
    </xf>
    <xf numFmtId="0" fontId="12" fillId="0" borderId="98" xfId="0" applyNumberFormat="1" applyFont="1" applyFill="1" applyBorder="1" applyAlignment="1">
      <alignment horizontal="center" vertical="top" wrapText="1"/>
    </xf>
    <xf numFmtId="174" fontId="12" fillId="0" borderId="99" xfId="0" applyNumberFormat="1" applyFont="1" applyBorder="1" applyAlignment="1"/>
    <xf numFmtId="0" fontId="14" fillId="0" borderId="43" xfId="0" applyFont="1" applyFill="1" applyBorder="1" applyAlignment="1">
      <alignment vertical="center" wrapText="1"/>
    </xf>
    <xf numFmtId="0" fontId="14" fillId="0" borderId="75" xfId="0" applyFont="1" applyFill="1" applyBorder="1" applyAlignment="1">
      <alignment vertical="center" wrapText="1"/>
    </xf>
    <xf numFmtId="0" fontId="14" fillId="0" borderId="103" xfId="0" applyFont="1" applyFill="1" applyBorder="1" applyAlignment="1">
      <alignment vertical="center" wrapText="1"/>
    </xf>
    <xf numFmtId="0" fontId="15" fillId="0" borderId="4" xfId="0" applyNumberFormat="1" applyFont="1" applyBorder="1"/>
    <xf numFmtId="0" fontId="17" fillId="0" borderId="36" xfId="0" applyNumberFormat="1" applyFont="1" applyBorder="1" applyAlignment="1">
      <alignment horizontal="center"/>
    </xf>
    <xf numFmtId="167" fontId="17" fillId="0" borderId="36" xfId="6" applyNumberFormat="1" applyFont="1" applyFill="1" applyBorder="1" applyAlignment="1">
      <alignment horizontal="center"/>
    </xf>
    <xf numFmtId="167" fontId="17" fillId="0" borderId="10" xfId="6" applyNumberFormat="1" applyFont="1" applyFill="1" applyBorder="1" applyAlignment="1">
      <alignment horizontal="center"/>
    </xf>
    <xf numFmtId="167" fontId="17" fillId="0" borderId="4" xfId="6" applyNumberFormat="1" applyFont="1" applyFill="1" applyBorder="1" applyAlignment="1">
      <alignment horizontal="center"/>
    </xf>
    <xf numFmtId="167" fontId="17" fillId="0" borderId="9" xfId="6" applyNumberFormat="1" applyFont="1" applyFill="1" applyBorder="1" applyAlignment="1">
      <alignment horizontal="center"/>
    </xf>
    <xf numFmtId="167" fontId="17" fillId="0" borderId="64" xfId="6" applyNumberFormat="1" applyFont="1" applyFill="1" applyBorder="1" applyAlignment="1">
      <alignment horizontal="center"/>
    </xf>
    <xf numFmtId="0" fontId="12" fillId="0" borderId="75" xfId="0" applyFont="1" applyBorder="1" applyAlignment="1">
      <alignment horizontal="center"/>
    </xf>
    <xf numFmtId="0" fontId="12" fillId="0" borderId="76" xfId="0" applyFont="1" applyBorder="1" applyAlignment="1">
      <alignment horizontal="center"/>
    </xf>
    <xf numFmtId="0" fontId="12" fillId="0" borderId="77" xfId="0" applyFont="1" applyBorder="1" applyAlignment="1">
      <alignment horizontal="center"/>
    </xf>
    <xf numFmtId="0" fontId="14" fillId="0" borderId="35" xfId="0" applyNumberFormat="1" applyFont="1" applyBorder="1"/>
    <xf numFmtId="0" fontId="12" fillId="0" borderId="35" xfId="0" applyNumberFormat="1" applyFont="1" applyBorder="1" applyAlignment="1">
      <alignment horizontal="center"/>
    </xf>
    <xf numFmtId="0" fontId="15" fillId="0" borderId="12" xfId="0" applyNumberFormat="1" applyFont="1" applyBorder="1"/>
    <xf numFmtId="0" fontId="17" fillId="0" borderId="43" xfId="0" applyNumberFormat="1" applyFont="1" applyBorder="1" applyAlignment="1">
      <alignment horizontal="center"/>
    </xf>
    <xf numFmtId="167" fontId="17" fillId="0" borderId="43" xfId="6" applyNumberFormat="1" applyFont="1" applyFill="1" applyBorder="1" applyAlignment="1">
      <alignment horizontal="center"/>
    </xf>
    <xf numFmtId="167" fontId="17" fillId="0" borderId="7" xfId="6" applyNumberFormat="1" applyFont="1" applyFill="1" applyBorder="1" applyAlignment="1">
      <alignment horizontal="center"/>
    </xf>
    <xf numFmtId="167" fontId="17" fillId="0" borderId="12" xfId="6" applyNumberFormat="1" applyFont="1" applyFill="1" applyBorder="1" applyAlignment="1">
      <alignment horizontal="center"/>
    </xf>
    <xf numFmtId="167" fontId="17" fillId="0" borderId="6" xfId="6" applyNumberFormat="1" applyFont="1" applyFill="1" applyBorder="1" applyAlignment="1">
      <alignment horizontal="center"/>
    </xf>
    <xf numFmtId="167" fontId="17" fillId="0" borderId="45" xfId="6" applyNumberFormat="1" applyFont="1" applyFill="1" applyBorder="1" applyAlignment="1">
      <alignment horizontal="center"/>
    </xf>
    <xf numFmtId="0" fontId="17" fillId="0" borderId="0" xfId="0" applyFont="1" applyAlignment="1">
      <alignment horizontal="left"/>
    </xf>
    <xf numFmtId="174" fontId="12" fillId="0" borderId="0" xfId="0" applyNumberFormat="1" applyFont="1" applyFill="1"/>
    <xf numFmtId="9" fontId="12" fillId="0" borderId="0" xfId="6" applyFont="1" applyFill="1" applyAlignment="1">
      <alignment horizontal="center"/>
    </xf>
    <xf numFmtId="9" fontId="12" fillId="0" borderId="0" xfId="6" applyFont="1" applyFill="1" applyAlignment="1" applyProtection="1">
      <alignment horizontal="center"/>
      <protection locked="0"/>
    </xf>
    <xf numFmtId="0" fontId="12" fillId="0" borderId="67" xfId="0" applyNumberFormat="1" applyFont="1" applyFill="1" applyBorder="1" applyAlignment="1">
      <alignment horizontal="center"/>
    </xf>
    <xf numFmtId="0" fontId="12" fillId="0" borderId="67" xfId="0" applyNumberFormat="1" applyFont="1" applyFill="1" applyBorder="1" applyAlignment="1" applyProtection="1">
      <alignment horizontal="center"/>
      <protection locked="0"/>
    </xf>
    <xf numFmtId="0" fontId="12" fillId="0" borderId="37" xfId="0" applyNumberFormat="1" applyFont="1" applyFill="1" applyBorder="1" applyAlignment="1">
      <alignment horizontal="center"/>
    </xf>
    <xf numFmtId="0" fontId="12" fillId="0" borderId="0" xfId="0" applyFont="1" applyFill="1" applyBorder="1" applyAlignment="1" applyProtection="1">
      <alignment horizontal="center"/>
      <protection locked="0"/>
    </xf>
    <xf numFmtId="0" fontId="12" fillId="0" borderId="0" xfId="0" applyFont="1" applyFill="1" applyAlignment="1">
      <alignment horizontal="center"/>
    </xf>
    <xf numFmtId="0" fontId="14" fillId="0" borderId="43" xfId="0" applyFont="1" applyFill="1" applyBorder="1" applyAlignment="1">
      <alignment horizontal="center" wrapText="1"/>
    </xf>
    <xf numFmtId="174" fontId="14" fillId="0" borderId="1" xfId="0" applyNumberFormat="1" applyFont="1" applyBorder="1" applyAlignment="1">
      <alignment horizontal="right"/>
    </xf>
    <xf numFmtId="174" fontId="14" fillId="0" borderId="51" xfId="0" applyNumberFormat="1" applyFont="1" applyBorder="1" applyAlignment="1">
      <alignment horizontal="right"/>
    </xf>
    <xf numFmtId="174" fontId="14" fillId="0" borderId="80" xfId="0" applyNumberFormat="1" applyFont="1" applyBorder="1" applyAlignment="1">
      <alignment horizontal="right"/>
    </xf>
    <xf numFmtId="174" fontId="14" fillId="0" borderId="50" xfId="0" applyNumberFormat="1" applyFont="1" applyBorder="1" applyAlignment="1">
      <alignment horizontal="right"/>
    </xf>
    <xf numFmtId="174" fontId="14" fillId="0" borderId="67" xfId="0" applyNumberFormat="1" applyFont="1" applyBorder="1" applyAlignment="1">
      <alignment horizontal="right"/>
    </xf>
    <xf numFmtId="174" fontId="14" fillId="0" borderId="99" xfId="0" applyNumberFormat="1" applyFont="1" applyBorder="1" applyAlignment="1">
      <alignment horizontal="right"/>
    </xf>
    <xf numFmtId="174" fontId="14" fillId="0" borderId="76" xfId="0" applyNumberFormat="1" applyFont="1" applyBorder="1" applyAlignment="1">
      <alignment horizontal="right"/>
    </xf>
    <xf numFmtId="174" fontId="14" fillId="0" borderId="47" xfId="0" applyNumberFormat="1" applyFont="1" applyFill="1" applyBorder="1" applyAlignment="1">
      <alignment horizontal="right"/>
    </xf>
    <xf numFmtId="174" fontId="14" fillId="0" borderId="76" xfId="0" applyNumberFormat="1" applyFont="1" applyFill="1" applyBorder="1" applyAlignment="1">
      <alignment horizontal="right"/>
    </xf>
    <xf numFmtId="174" fontId="14" fillId="0" borderId="51" xfId="0" applyNumberFormat="1" applyFont="1" applyFill="1" applyBorder="1" applyAlignment="1">
      <alignment horizontal="right"/>
    </xf>
    <xf numFmtId="174" fontId="14" fillId="0" borderId="79" xfId="0" applyNumberFormat="1" applyFont="1" applyFill="1" applyBorder="1" applyAlignment="1">
      <alignment horizontal="right"/>
    </xf>
    <xf numFmtId="174" fontId="12" fillId="0" borderId="35" xfId="0" applyNumberFormat="1" applyFont="1" applyFill="1" applyBorder="1"/>
    <xf numFmtId="0" fontId="14" fillId="0" borderId="100" xfId="0" applyFont="1" applyFill="1" applyBorder="1" applyAlignment="1">
      <alignment horizontal="center" vertical="center" wrapText="1"/>
    </xf>
    <xf numFmtId="174" fontId="14" fillId="0" borderId="48" xfId="0" applyNumberFormat="1" applyFont="1" applyBorder="1" applyAlignment="1">
      <alignment horizontal="right"/>
    </xf>
    <xf numFmtId="0" fontId="12" fillId="0" borderId="42" xfId="0" applyNumberFormat="1" applyFont="1" applyFill="1" applyBorder="1" applyProtection="1"/>
    <xf numFmtId="0" fontId="12" fillId="0" borderId="8" xfId="0" applyNumberFormat="1" applyFont="1" applyFill="1" applyBorder="1" applyProtection="1"/>
    <xf numFmtId="0" fontId="12" fillId="0" borderId="3" xfId="0" applyNumberFormat="1" applyFont="1" applyFill="1" applyBorder="1" applyProtection="1"/>
    <xf numFmtId="0" fontId="12" fillId="0" borderId="0" xfId="0" applyNumberFormat="1" applyFont="1" applyFill="1" applyBorder="1" applyProtection="1"/>
    <xf numFmtId="0" fontId="12" fillId="0" borderId="47" xfId="0" applyNumberFormat="1" applyFont="1" applyFill="1" applyBorder="1" applyProtection="1"/>
    <xf numFmtId="175" fontId="12" fillId="17" borderId="3" xfId="0" applyNumberFormat="1" applyFont="1" applyFill="1" applyBorder="1" applyProtection="1">
      <protection locked="0"/>
    </xf>
    <xf numFmtId="175" fontId="12" fillId="0" borderId="46" xfId="0" applyNumberFormat="1" applyFont="1" applyFill="1" applyBorder="1" applyProtection="1"/>
    <xf numFmtId="175" fontId="12" fillId="0" borderId="49" xfId="0" applyNumberFormat="1" applyFont="1" applyFill="1" applyBorder="1" applyProtection="1"/>
    <xf numFmtId="175" fontId="12" fillId="0" borderId="50" xfId="0" applyNumberFormat="1" applyFont="1" applyFill="1" applyBorder="1" applyProtection="1"/>
    <xf numFmtId="175" fontId="12" fillId="0" borderId="48" xfId="0" applyNumberFormat="1" applyFont="1" applyFill="1" applyBorder="1" applyProtection="1"/>
    <xf numFmtId="175" fontId="12" fillId="0" borderId="51" xfId="0" applyNumberFormat="1" applyFont="1" applyFill="1" applyBorder="1" applyProtection="1"/>
    <xf numFmtId="175" fontId="12" fillId="0" borderId="60" xfId="0" applyNumberFormat="1" applyFont="1" applyFill="1" applyBorder="1" applyProtection="1"/>
    <xf numFmtId="175" fontId="12" fillId="0" borderId="61" xfId="0" applyNumberFormat="1" applyFont="1" applyFill="1" applyBorder="1" applyProtection="1"/>
    <xf numFmtId="175" fontId="12" fillId="0" borderId="62" xfId="0" applyNumberFormat="1" applyFont="1" applyFill="1" applyBorder="1" applyProtection="1"/>
    <xf numFmtId="175" fontId="12" fillId="0" borderId="59" xfId="0" applyNumberFormat="1" applyFont="1" applyFill="1" applyBorder="1" applyProtection="1"/>
    <xf numFmtId="175" fontId="12" fillId="0" borderId="63" xfId="0" applyNumberFormat="1" applyFont="1" applyFill="1" applyBorder="1" applyProtection="1"/>
    <xf numFmtId="175" fontId="14" fillId="0" borderId="46" xfId="0" applyNumberFormat="1" applyFont="1" applyFill="1" applyBorder="1" applyProtection="1"/>
    <xf numFmtId="175" fontId="14" fillId="0" borderId="49" xfId="0" applyNumberFormat="1" applyFont="1" applyFill="1" applyBorder="1" applyProtection="1"/>
    <xf numFmtId="175" fontId="14" fillId="0" borderId="50" xfId="0" applyNumberFormat="1" applyFont="1" applyFill="1" applyBorder="1" applyProtection="1"/>
    <xf numFmtId="175" fontId="14" fillId="0" borderId="48" xfId="0" applyNumberFormat="1" applyFont="1" applyFill="1" applyBorder="1" applyProtection="1"/>
    <xf numFmtId="175" fontId="14" fillId="0" borderId="51" xfId="0" applyNumberFormat="1" applyFont="1" applyFill="1" applyBorder="1" applyProtection="1"/>
    <xf numFmtId="175" fontId="12" fillId="0" borderId="42" xfId="0" applyNumberFormat="1" applyFont="1" applyFill="1" applyBorder="1" applyProtection="1"/>
    <xf numFmtId="175" fontId="12" fillId="0" borderId="8" xfId="0" applyNumberFormat="1" applyFont="1" applyFill="1" applyBorder="1" applyProtection="1"/>
    <xf numFmtId="175" fontId="12" fillId="0" borderId="3" xfId="0" applyNumberFormat="1" applyFont="1" applyFill="1" applyBorder="1" applyProtection="1"/>
    <xf numFmtId="175" fontId="12" fillId="0" borderId="0" xfId="0" applyNumberFormat="1" applyFont="1" applyFill="1" applyBorder="1" applyProtection="1"/>
    <xf numFmtId="175" fontId="12" fillId="0" borderId="47" xfId="0" applyNumberFormat="1" applyFont="1" applyFill="1" applyBorder="1" applyProtection="1"/>
    <xf numFmtId="175" fontId="12" fillId="17" borderId="68" xfId="0" applyNumberFormat="1" applyFont="1" applyFill="1" applyBorder="1" applyProtection="1">
      <protection locked="0"/>
    </xf>
    <xf numFmtId="175" fontId="12" fillId="17" borderId="73" xfId="0" applyNumberFormat="1" applyFont="1" applyFill="1" applyBorder="1" applyProtection="1">
      <protection locked="0"/>
    </xf>
    <xf numFmtId="0" fontId="12" fillId="0" borderId="0" xfId="0" applyNumberFormat="1" applyFont="1" applyFill="1" applyProtection="1"/>
    <xf numFmtId="0" fontId="12" fillId="0" borderId="0" xfId="0" applyNumberFormat="1" applyFont="1" applyProtection="1"/>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5" fontId="12" fillId="17" borderId="97" xfId="0" applyNumberFormat="1" applyFont="1" applyFill="1" applyBorder="1" applyProtection="1">
      <protection locked="0"/>
    </xf>
    <xf numFmtId="0" fontId="12" fillId="0" borderId="3" xfId="0" applyNumberFormat="1" applyFont="1" applyBorder="1" applyAlignment="1" applyProtection="1">
      <alignment horizontal="left" wrapText="1" indent="1"/>
    </xf>
    <xf numFmtId="0" fontId="12" fillId="0" borderId="0" xfId="0" applyFont="1" applyFill="1" applyBorder="1" applyAlignment="1" applyProtection="1">
      <alignment horizontal="left"/>
    </xf>
    <xf numFmtId="0" fontId="12" fillId="0" borderId="0" xfId="0" applyFont="1" applyFill="1" applyBorder="1" applyAlignment="1" applyProtection="1">
      <alignment horizontal="left" indent="2"/>
    </xf>
    <xf numFmtId="0" fontId="31" fillId="0" borderId="3" xfId="0" applyFont="1" applyBorder="1" applyAlignment="1">
      <alignment horizontal="center"/>
    </xf>
    <xf numFmtId="0" fontId="18" fillId="0" borderId="0" xfId="0" applyFont="1" applyAlignment="1">
      <alignment horizontal="left"/>
    </xf>
    <xf numFmtId="0" fontId="17" fillId="0" borderId="0" xfId="0" applyNumberFormat="1" applyFont="1" applyFill="1" applyProtection="1"/>
    <xf numFmtId="0" fontId="12" fillId="0" borderId="0" xfId="0" applyFont="1" applyFill="1" applyAlignment="1" applyProtection="1">
      <alignment horizontal="center"/>
      <protection locked="0"/>
    </xf>
    <xf numFmtId="0" fontId="14" fillId="0" borderId="36" xfId="0" quotePrefix="1" applyFont="1" applyFill="1" applyBorder="1" applyAlignment="1">
      <alignment horizontal="center" vertical="center" wrapText="1"/>
    </xf>
    <xf numFmtId="0" fontId="14" fillId="0" borderId="43" xfId="0" applyFont="1" applyFill="1" applyBorder="1" applyAlignment="1">
      <alignment horizontal="right" wrapText="1"/>
    </xf>
    <xf numFmtId="0" fontId="12" fillId="0" borderId="36" xfId="0" applyNumberFormat="1" applyFont="1" applyBorder="1" applyAlignment="1">
      <alignment horizontal="center" vertical="center"/>
    </xf>
    <xf numFmtId="0" fontId="38" fillId="17" borderId="76" xfId="0" applyNumberFormat="1" applyFont="1" applyFill="1" applyBorder="1" applyAlignment="1" applyProtection="1">
      <alignment horizontal="center"/>
      <protection locked="0"/>
    </xf>
    <xf numFmtId="174" fontId="12" fillId="17" borderId="99" xfId="1" applyNumberFormat="1" applyFont="1" applyFill="1" applyBorder="1" applyProtection="1">
      <protection locked="0"/>
    </xf>
    <xf numFmtId="174" fontId="12" fillId="0" borderId="99" xfId="0" applyNumberFormat="1" applyFont="1" applyBorder="1"/>
    <xf numFmtId="0" fontId="17" fillId="17" borderId="42" xfId="1" applyNumberFormat="1" applyFont="1" applyFill="1" applyBorder="1" applyAlignment="1" applyProtection="1">
      <alignment vertical="top" wrapText="1"/>
      <protection locked="0"/>
    </xf>
    <xf numFmtId="0" fontId="9" fillId="0" borderId="4" xfId="0" applyFont="1" applyFill="1" applyBorder="1" applyAlignment="1" applyProtection="1">
      <alignment horizontal="left"/>
    </xf>
    <xf numFmtId="0" fontId="14" fillId="0" borderId="38" xfId="0" applyFont="1" applyFill="1" applyBorder="1" applyAlignment="1" applyProtection="1">
      <alignment horizontal="centerContinuous" vertical="center" wrapText="1"/>
    </xf>
    <xf numFmtId="0" fontId="14" fillId="0" borderId="40" xfId="0" applyFont="1" applyFill="1" applyBorder="1" applyAlignment="1" applyProtection="1">
      <alignment horizontal="centerContinuous" vertical="center" wrapText="1"/>
    </xf>
    <xf numFmtId="0" fontId="14" fillId="0" borderId="82" xfId="0" applyFont="1" applyFill="1" applyBorder="1" applyAlignment="1" applyProtection="1">
      <alignment horizontal="centerContinuous" vertical="center" wrapText="1"/>
    </xf>
    <xf numFmtId="0" fontId="14" fillId="0" borderId="46" xfId="0" applyFont="1" applyFill="1" applyBorder="1" applyAlignment="1" applyProtection="1">
      <alignment horizontal="center" vertical="center" wrapText="1"/>
    </xf>
    <xf numFmtId="0" fontId="16" fillId="0" borderId="3" xfId="0" applyNumberFormat="1" applyFont="1" applyBorder="1" applyAlignment="1" applyProtection="1">
      <alignment horizontal="left" wrapText="1"/>
    </xf>
    <xf numFmtId="0" fontId="12" fillId="0" borderId="43" xfId="0" applyNumberFormat="1" applyFont="1" applyBorder="1" applyAlignment="1" applyProtection="1">
      <alignment horizontal="center" vertical="top" wrapText="1"/>
    </xf>
    <xf numFmtId="164" fontId="12" fillId="0" borderId="43" xfId="1" applyNumberFormat="1" applyFont="1" applyBorder="1" applyAlignment="1" applyProtection="1">
      <alignment vertical="top" wrapText="1"/>
    </xf>
    <xf numFmtId="164" fontId="12" fillId="0" borderId="7" xfId="1" applyNumberFormat="1" applyFont="1" applyBorder="1" applyAlignment="1" applyProtection="1">
      <alignment vertical="top" wrapText="1"/>
    </xf>
    <xf numFmtId="164" fontId="12" fillId="0" borderId="12" xfId="1" applyNumberFormat="1" applyFont="1" applyBorder="1" applyAlignment="1" applyProtection="1">
      <alignment vertical="top" wrapText="1"/>
    </xf>
    <xf numFmtId="0" fontId="12" fillId="0" borderId="3" xfId="0" applyNumberFormat="1" applyFont="1" applyBorder="1" applyAlignment="1" applyProtection="1">
      <alignment horizontal="left" wrapText="1" indent="2"/>
    </xf>
    <xf numFmtId="0" fontId="12" fillId="0" borderId="42" xfId="0" applyNumberFormat="1" applyFont="1" applyBorder="1" applyAlignment="1" applyProtection="1">
      <alignment horizontal="center" vertical="top" wrapText="1"/>
    </xf>
    <xf numFmtId="0" fontId="12" fillId="0" borderId="42" xfId="0" applyNumberFormat="1" applyFont="1" applyFill="1" applyBorder="1" applyAlignment="1" applyProtection="1">
      <alignment horizontal="center" vertical="top" wrapText="1"/>
    </xf>
    <xf numFmtId="164" fontId="12" fillId="0" borderId="42" xfId="1" applyNumberFormat="1" applyFont="1" applyFill="1" applyBorder="1" applyAlignment="1" applyProtection="1">
      <alignment vertical="top" wrapText="1"/>
    </xf>
    <xf numFmtId="164" fontId="12" fillId="0" borderId="8" xfId="1" applyNumberFormat="1" applyFont="1" applyFill="1" applyBorder="1" applyAlignment="1" applyProtection="1">
      <alignment vertical="top" wrapText="1"/>
    </xf>
    <xf numFmtId="164" fontId="12" fillId="0" borderId="3" xfId="1" applyNumberFormat="1" applyFont="1" applyFill="1" applyBorder="1" applyAlignment="1" applyProtection="1">
      <alignment vertical="top" wrapText="1"/>
    </xf>
    <xf numFmtId="0" fontId="15" fillId="0" borderId="3" xfId="0" applyNumberFormat="1" applyFont="1" applyBorder="1" applyAlignment="1" applyProtection="1">
      <alignment horizontal="left" wrapText="1" indent="1"/>
    </xf>
    <xf numFmtId="0" fontId="12" fillId="0" borderId="3" xfId="0" applyFont="1" applyBorder="1" applyAlignment="1" applyProtection="1">
      <alignment horizontal="left" indent="2"/>
    </xf>
    <xf numFmtId="178" fontId="12" fillId="0" borderId="47" xfId="1" applyNumberFormat="1" applyFont="1" applyFill="1" applyBorder="1" applyAlignment="1" applyProtection="1">
      <alignment vertical="top" wrapText="1"/>
    </xf>
    <xf numFmtId="164" fontId="14" fillId="0" borderId="42" xfId="1" applyNumberFormat="1" applyFont="1" applyFill="1" applyBorder="1" applyAlignment="1" applyProtection="1">
      <alignment vertical="top" wrapText="1"/>
    </xf>
    <xf numFmtId="164" fontId="14" fillId="0" borderId="8" xfId="1" applyNumberFormat="1" applyFont="1" applyFill="1" applyBorder="1" applyAlignment="1" applyProtection="1">
      <alignment vertical="top" wrapText="1"/>
    </xf>
    <xf numFmtId="164" fontId="14" fillId="0" borderId="3" xfId="1" applyNumberFormat="1" applyFont="1" applyFill="1" applyBorder="1" applyAlignment="1" applyProtection="1">
      <alignment vertical="top" wrapText="1"/>
    </xf>
    <xf numFmtId="0" fontId="12" fillId="0" borderId="3" xfId="0" applyNumberFormat="1" applyFont="1" applyFill="1" applyBorder="1" applyAlignment="1" applyProtection="1">
      <alignment horizontal="left" wrapText="1" indent="2"/>
    </xf>
    <xf numFmtId="0" fontId="12" fillId="0" borderId="3" xfId="0" applyNumberFormat="1" applyFont="1" applyBorder="1" applyAlignment="1" applyProtection="1">
      <alignment horizontal="left" vertical="top" wrapText="1" indent="2"/>
    </xf>
    <xf numFmtId="0" fontId="16" fillId="0" borderId="4" xfId="0" applyNumberFormat="1" applyFont="1" applyBorder="1" applyAlignment="1" applyProtection="1">
      <alignment horizontal="left" wrapText="1"/>
    </xf>
    <xf numFmtId="0" fontId="12" fillId="0" borderId="36" xfId="0" applyFont="1" applyBorder="1" applyAlignment="1" applyProtection="1">
      <alignment horizontal="center" vertical="top" wrapText="1"/>
    </xf>
    <xf numFmtId="164" fontId="12" fillId="0" borderId="36" xfId="1" applyNumberFormat="1" applyFont="1" applyBorder="1" applyAlignment="1" applyProtection="1">
      <alignment horizontal="center" vertical="top" wrapText="1"/>
    </xf>
    <xf numFmtId="164" fontId="12" fillId="0" borderId="10" xfId="1" applyNumberFormat="1" applyFont="1" applyBorder="1" applyAlignment="1" applyProtection="1">
      <alignment horizontal="center" vertical="top" wrapText="1"/>
    </xf>
    <xf numFmtId="164" fontId="12" fillId="0" borderId="4" xfId="1" applyNumberFormat="1" applyFont="1" applyBorder="1" applyAlignment="1" applyProtection="1">
      <alignment horizontal="center" vertical="top" wrapText="1"/>
    </xf>
    <xf numFmtId="0" fontId="17" fillId="0" borderId="0" xfId="4" applyFont="1" applyAlignment="1" applyProtection="1">
      <alignment horizontal="center"/>
    </xf>
    <xf numFmtId="0" fontId="12" fillId="0" borderId="0" xfId="0" applyNumberFormat="1" applyFont="1" applyFill="1" applyBorder="1" applyAlignment="1" applyProtection="1">
      <alignment horizontal="left" indent="1"/>
    </xf>
    <xf numFmtId="0" fontId="12" fillId="0" borderId="0" xfId="0" applyNumberFormat="1" applyFont="1" applyFill="1" applyBorder="1" applyAlignment="1" applyProtection="1">
      <alignment horizontal="center"/>
    </xf>
    <xf numFmtId="173" fontId="12" fillId="0" borderId="0" xfId="1" applyNumberFormat="1" applyFont="1" applyFill="1" applyBorder="1" applyProtection="1"/>
    <xf numFmtId="0" fontId="12" fillId="17" borderId="47" xfId="0" applyNumberFormat="1" applyFont="1" applyFill="1" applyBorder="1" applyAlignment="1" applyProtection="1">
      <alignment horizontal="right" wrapText="1"/>
      <protection locked="0"/>
    </xf>
    <xf numFmtId="0" fontId="12" fillId="17" borderId="42" xfId="0" applyNumberFormat="1" applyFont="1" applyFill="1" applyBorder="1" applyAlignment="1" applyProtection="1">
      <alignment horizontal="right" wrapText="1"/>
      <protection locked="0"/>
    </xf>
    <xf numFmtId="0" fontId="12" fillId="17" borderId="8" xfId="0" applyNumberFormat="1" applyFont="1" applyFill="1" applyBorder="1" applyAlignment="1" applyProtection="1">
      <alignment horizontal="right" wrapText="1"/>
      <protection locked="0"/>
    </xf>
    <xf numFmtId="0" fontId="12" fillId="17" borderId="0" xfId="0" applyNumberFormat="1" applyFont="1" applyFill="1" applyBorder="1" applyAlignment="1" applyProtection="1">
      <alignment horizontal="right" wrapText="1"/>
      <protection locked="0"/>
    </xf>
    <xf numFmtId="0" fontId="12" fillId="17" borderId="99" xfId="0" applyNumberFormat="1" applyFont="1" applyFill="1" applyBorder="1" applyAlignment="1" applyProtection="1">
      <alignment horizontal="right" wrapText="1"/>
      <protection locked="0"/>
    </xf>
    <xf numFmtId="174" fontId="12" fillId="17" borderId="99" xfId="0" applyNumberFormat="1" applyFont="1" applyFill="1" applyBorder="1" applyAlignment="1" applyProtection="1">
      <alignment horizontal="right"/>
      <protection locked="0"/>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Continuous" vertical="center" wrapText="1"/>
      <protection locked="0"/>
    </xf>
    <xf numFmtId="0" fontId="12" fillId="0" borderId="0" xfId="0" applyNumberFormat="1" applyFont="1" applyFill="1" applyBorder="1" applyAlignment="1" applyProtection="1">
      <alignment horizontal="center" vertical="top" wrapText="1"/>
      <protection locked="0"/>
    </xf>
    <xf numFmtId="164" fontId="12" fillId="0" borderId="0" xfId="1" applyNumberFormat="1" applyFont="1" applyFill="1" applyBorder="1" applyAlignment="1" applyProtection="1">
      <alignment vertical="top" wrapText="1"/>
      <protection locked="0"/>
    </xf>
    <xf numFmtId="0" fontId="12" fillId="0" borderId="0" xfId="0" applyNumberFormat="1" applyFont="1" applyFill="1" applyBorder="1" applyAlignment="1" applyProtection="1">
      <alignment horizontal="left" indent="1"/>
      <protection locked="0"/>
    </xf>
    <xf numFmtId="0" fontId="19" fillId="0" borderId="0" xfId="0" applyFont="1" applyFill="1" applyBorder="1" applyProtection="1">
      <protection locked="0"/>
    </xf>
    <xf numFmtId="0" fontId="16" fillId="0" borderId="0" xfId="0" applyNumberFormat="1" applyFont="1" applyFill="1" applyBorder="1" applyAlignment="1" applyProtection="1">
      <alignment horizontal="left" wrapText="1"/>
      <protection locked="0"/>
    </xf>
    <xf numFmtId="0" fontId="17" fillId="0" borderId="0" xfId="1" applyNumberFormat="1" applyFont="1" applyFill="1" applyBorder="1" applyAlignment="1" applyProtection="1">
      <alignment vertical="top" wrapText="1"/>
      <protection locked="0"/>
    </xf>
    <xf numFmtId="0" fontId="19" fillId="0" borderId="0" xfId="0" applyNumberFormat="1" applyFont="1" applyFill="1" applyBorder="1" applyProtection="1">
      <protection locked="0"/>
    </xf>
    <xf numFmtId="0" fontId="12" fillId="0" borderId="0" xfId="1" applyNumberFormat="1" applyFont="1" applyFill="1" applyBorder="1" applyProtection="1">
      <protection locked="0"/>
    </xf>
    <xf numFmtId="0" fontId="14" fillId="0" borderId="0" xfId="0" applyNumberFormat="1" applyFont="1" applyFill="1" applyBorder="1" applyAlignment="1" applyProtection="1">
      <alignment horizontal="center" vertical="center" wrapText="1"/>
      <protection locked="0"/>
    </xf>
    <xf numFmtId="0" fontId="14" fillId="0" borderId="0" xfId="0" applyNumberFormat="1" applyFont="1" applyFill="1" applyBorder="1" applyAlignment="1" applyProtection="1">
      <alignment horizontal="centerContinuous" vertical="center" wrapText="1"/>
      <protection locked="0"/>
    </xf>
    <xf numFmtId="0" fontId="12" fillId="0" borderId="0" xfId="1" applyNumberFormat="1" applyFont="1" applyFill="1" applyBorder="1"/>
    <xf numFmtId="0" fontId="12" fillId="0" borderId="0" xfId="1" applyNumberFormat="1" applyFont="1" applyFill="1" applyBorder="1" applyAlignment="1" applyProtection="1">
      <alignment vertical="top" wrapText="1"/>
      <protection locked="0"/>
    </xf>
    <xf numFmtId="0" fontId="12" fillId="0" borderId="0" xfId="0" applyNumberFormat="1" applyFont="1" applyFill="1" applyBorder="1" applyProtection="1">
      <protection locked="0"/>
    </xf>
    <xf numFmtId="0" fontId="14" fillId="0" borderId="0" xfId="0" applyNumberFormat="1" applyFont="1" applyFill="1" applyBorder="1" applyProtection="1">
      <protection locked="0"/>
    </xf>
    <xf numFmtId="0" fontId="12" fillId="0" borderId="0" xfId="6" applyNumberFormat="1" applyFont="1" applyFill="1" applyBorder="1" applyAlignment="1" applyProtection="1">
      <alignment horizontal="center"/>
      <protection locked="0"/>
    </xf>
    <xf numFmtId="0" fontId="12" fillId="0" borderId="0" xfId="0" applyNumberFormat="1" applyFont="1" applyFill="1" applyBorder="1" applyAlignment="1" applyProtection="1">
      <alignment horizontal="left" wrapText="1" indent="2"/>
    </xf>
    <xf numFmtId="0" fontId="12" fillId="0" borderId="0" xfId="0" applyNumberFormat="1" applyFont="1" applyFill="1" applyBorder="1" applyAlignment="1" applyProtection="1">
      <alignment horizontal="center" vertical="top" wrapText="1"/>
    </xf>
    <xf numFmtId="164" fontId="12" fillId="0" borderId="0" xfId="1"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indent="1"/>
    </xf>
    <xf numFmtId="0" fontId="15" fillId="0" borderId="0" xfId="0" applyNumberFormat="1" applyFont="1" applyFill="1" applyBorder="1" applyAlignment="1" applyProtection="1">
      <alignment horizontal="left" wrapText="1" indent="1"/>
    </xf>
    <xf numFmtId="0" fontId="16" fillId="0" borderId="0" xfId="0" applyNumberFormat="1" applyFont="1" applyFill="1" applyBorder="1" applyAlignment="1" applyProtection="1">
      <alignment horizontal="left" wrapText="1"/>
    </xf>
    <xf numFmtId="0" fontId="12" fillId="0" borderId="0" xfId="0" applyFont="1" applyFill="1" applyBorder="1" applyAlignment="1" applyProtection="1">
      <alignment horizontal="center" vertical="top" wrapText="1"/>
    </xf>
    <xf numFmtId="0" fontId="17" fillId="0" borderId="36" xfId="1" applyNumberFormat="1" applyFont="1" applyFill="1" applyBorder="1" applyAlignment="1" applyProtection="1">
      <alignment vertical="top" wrapText="1"/>
      <protection locked="0"/>
    </xf>
    <xf numFmtId="0" fontId="12" fillId="0" borderId="36" xfId="0" applyNumberFormat="1" applyFont="1" applyFill="1" applyBorder="1" applyAlignment="1" applyProtection="1">
      <alignment horizontal="center" vertical="top" wrapText="1"/>
    </xf>
    <xf numFmtId="164" fontId="12" fillId="0" borderId="36" xfId="1" applyNumberFormat="1" applyFont="1" applyFill="1" applyBorder="1" applyAlignment="1" applyProtection="1">
      <alignment vertical="top" wrapText="1"/>
    </xf>
    <xf numFmtId="164" fontId="12" fillId="0" borderId="10" xfId="1" applyNumberFormat="1" applyFont="1" applyFill="1" applyBorder="1" applyAlignment="1" applyProtection="1">
      <alignment vertical="top" wrapText="1"/>
    </xf>
    <xf numFmtId="164" fontId="12" fillId="0" borderId="4" xfId="1" applyNumberFormat="1" applyFont="1" applyFill="1" applyBorder="1" applyAlignment="1" applyProtection="1">
      <alignment vertical="top" wrapText="1"/>
    </xf>
    <xf numFmtId="0" fontId="14" fillId="0" borderId="52" xfId="0" applyFont="1" applyFill="1" applyBorder="1" applyAlignment="1" applyProtection="1">
      <alignment horizontal="center" vertical="center" wrapText="1"/>
    </xf>
    <xf numFmtId="0" fontId="14" fillId="0" borderId="53" xfId="0" applyFont="1" applyFill="1" applyBorder="1" applyAlignment="1" applyProtection="1">
      <alignment horizontal="center" vertical="center" wrapText="1"/>
    </xf>
    <xf numFmtId="0" fontId="14" fillId="0" borderId="55" xfId="0" applyFont="1" applyFill="1" applyBorder="1" applyAlignment="1" applyProtection="1">
      <alignment horizontal="center" vertical="center" wrapText="1"/>
    </xf>
    <xf numFmtId="164" fontId="12" fillId="17" borderId="42" xfId="1" applyNumberFormat="1" applyFont="1" applyFill="1" applyBorder="1" applyAlignment="1" applyProtection="1">
      <alignment vertical="top" wrapText="1"/>
      <protection locked="0"/>
    </xf>
    <xf numFmtId="164" fontId="12" fillId="17" borderId="8" xfId="1" applyNumberFormat="1" applyFont="1" applyFill="1" applyBorder="1" applyAlignment="1" applyProtection="1">
      <alignment vertical="top" wrapText="1"/>
      <protection locked="0"/>
    </xf>
    <xf numFmtId="164" fontId="12" fillId="17" borderId="3" xfId="1" applyNumberFormat="1" applyFont="1" applyFill="1" applyBorder="1" applyAlignment="1" applyProtection="1">
      <alignment vertical="top" wrapText="1"/>
      <protection locked="0"/>
    </xf>
    <xf numFmtId="0" fontId="12" fillId="0" borderId="3" xfId="0" applyFont="1" applyBorder="1" applyProtection="1">
      <protection locked="0"/>
    </xf>
    <xf numFmtId="0" fontId="12" fillId="0" borderId="3" xfId="0" applyNumberFormat="1" applyFont="1" applyFill="1" applyBorder="1" applyAlignment="1" applyProtection="1">
      <alignment horizontal="left" wrapText="1" indent="2"/>
      <protection locked="0"/>
    </xf>
    <xf numFmtId="0" fontId="12" fillId="0" borderId="69" xfId="0" applyFont="1" applyFill="1" applyBorder="1" applyAlignment="1">
      <alignment horizontal="left" vertical="top" wrapText="1"/>
    </xf>
    <xf numFmtId="0" fontId="12" fillId="0" borderId="80" xfId="0" applyFont="1" applyFill="1" applyBorder="1" applyAlignment="1">
      <alignment horizontal="left" vertical="top" wrapText="1"/>
    </xf>
    <xf numFmtId="168" fontId="12" fillId="0" borderId="47" xfId="0" applyNumberFormat="1" applyFont="1" applyBorder="1" applyAlignment="1"/>
    <xf numFmtId="168" fontId="12" fillId="0" borderId="42" xfId="0" applyNumberFormat="1" applyFont="1" applyBorder="1" applyAlignment="1"/>
    <xf numFmtId="174" fontId="14" fillId="0" borderId="76" xfId="0" applyNumberFormat="1" applyFont="1" applyBorder="1" applyAlignment="1"/>
    <xf numFmtId="182" fontId="12" fillId="17" borderId="42" xfId="1" applyNumberFormat="1" applyFont="1" applyFill="1" applyBorder="1" applyAlignment="1" applyProtection="1">
      <alignment vertical="top" wrapText="1"/>
      <protection locked="0"/>
    </xf>
    <xf numFmtId="182" fontId="12" fillId="17" borderId="8" xfId="1" applyNumberFormat="1" applyFont="1" applyFill="1" applyBorder="1" applyAlignment="1" applyProtection="1">
      <alignment vertical="top" wrapText="1"/>
      <protection locked="0"/>
    </xf>
    <xf numFmtId="182" fontId="12" fillId="17" borderId="3" xfId="1" applyNumberFormat="1" applyFont="1" applyFill="1" applyBorder="1" applyAlignment="1" applyProtection="1">
      <alignment vertical="top" wrapText="1"/>
      <protection locked="0"/>
    </xf>
    <xf numFmtId="0" fontId="12" fillId="0" borderId="67" xfId="0" quotePrefix="1" applyNumberFormat="1" applyFont="1" applyBorder="1" applyAlignment="1">
      <alignment horizontal="center" vertical="center" wrapText="1"/>
    </xf>
    <xf numFmtId="174" fontId="14" fillId="0" borderId="99" xfId="0" applyNumberFormat="1" applyFont="1" applyFill="1" applyBorder="1"/>
    <xf numFmtId="168" fontId="14" fillId="0" borderId="42" xfId="0" applyNumberFormat="1" applyFont="1" applyFill="1" applyBorder="1" applyProtection="1">
      <protection locked="0"/>
    </xf>
    <xf numFmtId="168" fontId="14" fillId="0" borderId="76" xfId="0" applyNumberFormat="1" applyFont="1" applyFill="1" applyBorder="1" applyProtection="1">
      <protection locked="0"/>
    </xf>
    <xf numFmtId="168" fontId="14" fillId="0" borderId="67" xfId="0" applyNumberFormat="1" applyFont="1" applyFill="1" applyBorder="1" applyProtection="1">
      <protection locked="0"/>
    </xf>
    <xf numFmtId="168" fontId="14" fillId="0" borderId="47" xfId="0" applyNumberFormat="1" applyFont="1" applyFill="1" applyBorder="1" applyProtection="1">
      <protection locked="0"/>
    </xf>
    <xf numFmtId="174" fontId="12" fillId="0" borderId="53" xfId="0" applyNumberFormat="1" applyFont="1" applyBorder="1"/>
    <xf numFmtId="174" fontId="12" fillId="0" borderId="67" xfId="0" applyNumberFormat="1" applyFont="1" applyBorder="1" applyProtection="1"/>
    <xf numFmtId="174" fontId="12" fillId="0" borderId="47" xfId="1" applyNumberFormat="1" applyFont="1" applyBorder="1" applyProtection="1"/>
    <xf numFmtId="174" fontId="12" fillId="0" borderId="42" xfId="1" applyNumberFormat="1" applyFont="1" applyBorder="1" applyProtection="1"/>
    <xf numFmtId="174" fontId="12" fillId="0" borderId="76" xfId="1" applyNumberFormat="1" applyFont="1" applyBorder="1" applyProtection="1"/>
    <xf numFmtId="174" fontId="14" fillId="0" borderId="79" xfId="0" applyNumberFormat="1" applyFont="1" applyBorder="1" applyProtection="1"/>
    <xf numFmtId="174" fontId="14" fillId="0" borderId="104" xfId="0" applyNumberFormat="1" applyFont="1" applyBorder="1" applyProtection="1"/>
    <xf numFmtId="174" fontId="14" fillId="0" borderId="46" xfId="0" applyNumberFormat="1" applyFont="1" applyBorder="1" applyProtection="1"/>
    <xf numFmtId="174" fontId="12" fillId="0" borderId="100" xfId="0" applyNumberFormat="1" applyFont="1" applyBorder="1" applyProtection="1"/>
    <xf numFmtId="174" fontId="12" fillId="0" borderId="56" xfId="0" applyNumberFormat="1" applyFont="1" applyBorder="1" applyProtection="1"/>
    <xf numFmtId="174" fontId="12" fillId="0" borderId="53" xfId="0" applyNumberFormat="1" applyFont="1" applyBorder="1" applyProtection="1"/>
    <xf numFmtId="174" fontId="12" fillId="0" borderId="84" xfId="0" applyNumberFormat="1" applyFont="1" applyBorder="1" applyProtection="1"/>
    <xf numFmtId="168" fontId="12" fillId="0" borderId="99" xfId="0" applyNumberFormat="1" applyFont="1" applyBorder="1" applyAlignment="1"/>
    <xf numFmtId="174" fontId="12" fillId="17" borderId="99" xfId="0" applyNumberFormat="1" applyFont="1" applyFill="1" applyBorder="1" applyAlignment="1" applyProtection="1">
      <protection locked="0"/>
    </xf>
    <xf numFmtId="174" fontId="14" fillId="0" borderId="104" xfId="0" applyNumberFormat="1" applyFont="1" applyBorder="1" applyAlignment="1"/>
    <xf numFmtId="174" fontId="14" fillId="0" borderId="99" xfId="0" applyNumberFormat="1" applyFont="1" applyBorder="1" applyAlignment="1"/>
    <xf numFmtId="174" fontId="14" fillId="0" borderId="101" xfId="0" applyNumberFormat="1" applyFont="1" applyBorder="1" applyAlignment="1"/>
    <xf numFmtId="174" fontId="14" fillId="0" borderId="76" xfId="0" applyNumberFormat="1" applyFont="1" applyBorder="1" applyAlignment="1" applyProtection="1"/>
    <xf numFmtId="174" fontId="14" fillId="0" borderId="97" xfId="0" applyNumberFormat="1" applyFont="1" applyBorder="1" applyAlignment="1" applyProtection="1"/>
    <xf numFmtId="17" fontId="2" fillId="17" borderId="6" xfId="0" quotePrefix="1" applyNumberFormat="1" applyFont="1" applyFill="1" applyBorder="1" applyProtection="1"/>
    <xf numFmtId="0" fontId="2" fillId="17" borderId="0" xfId="0" quotePrefix="1" applyFont="1" applyFill="1" applyBorder="1" applyProtection="1"/>
    <xf numFmtId="0" fontId="2" fillId="17" borderId="0" xfId="0" applyFont="1" applyFill="1" applyBorder="1" applyProtection="1"/>
    <xf numFmtId="0" fontId="2" fillId="17" borderId="0" xfId="0" applyFont="1" applyFill="1" applyAlignment="1" applyProtection="1">
      <alignment wrapText="1"/>
    </xf>
    <xf numFmtId="0" fontId="9" fillId="17" borderId="118" xfId="0" applyFont="1" applyFill="1" applyBorder="1" applyAlignment="1" applyProtection="1">
      <alignment horizontal="justify" vertical="center" wrapText="1"/>
    </xf>
    <xf numFmtId="0" fontId="14" fillId="0" borderId="56" xfId="0" applyFont="1" applyFill="1" applyBorder="1" applyAlignment="1">
      <alignment horizontal="center" vertical="center" wrapText="1"/>
    </xf>
    <xf numFmtId="174" fontId="12" fillId="17" borderId="70" xfId="0" applyNumberFormat="1" applyFont="1" applyFill="1" applyBorder="1" applyProtection="1">
      <protection locked="0"/>
    </xf>
    <xf numFmtId="0" fontId="14" fillId="0" borderId="55" xfId="0" applyFont="1" applyFill="1" applyBorder="1" applyAlignment="1">
      <alignment horizontal="center" vertical="center" wrapText="1"/>
    </xf>
    <xf numFmtId="174" fontId="17" fillId="0" borderId="67" xfId="0" applyNumberFormat="1" applyFont="1" applyBorder="1"/>
    <xf numFmtId="174" fontId="17" fillId="0" borderId="0" xfId="0" applyNumberFormat="1" applyFont="1" applyBorder="1"/>
    <xf numFmtId="174" fontId="14" fillId="0" borderId="86" xfId="0" applyNumberFormat="1" applyFont="1" applyFill="1" applyBorder="1"/>
    <xf numFmtId="174" fontId="14" fillId="0" borderId="70" xfId="0" applyNumberFormat="1" applyFont="1" applyFill="1" applyBorder="1" applyAlignment="1">
      <alignment vertical="center"/>
    </xf>
    <xf numFmtId="174" fontId="14" fillId="0" borderId="97" xfId="0" applyNumberFormat="1" applyFont="1" applyFill="1" applyBorder="1" applyAlignment="1">
      <alignment vertical="center"/>
    </xf>
    <xf numFmtId="174" fontId="12" fillId="0" borderId="64" xfId="0" applyNumberFormat="1" applyFont="1" applyFill="1" applyBorder="1"/>
    <xf numFmtId="174" fontId="12" fillId="0" borderId="77" xfId="0" applyNumberFormat="1" applyFont="1" applyFill="1" applyBorder="1"/>
    <xf numFmtId="0" fontId="17" fillId="0" borderId="3" xfId="0" applyFont="1" applyBorder="1" applyAlignment="1" applyProtection="1">
      <alignment horizontal="left"/>
    </xf>
    <xf numFmtId="167" fontId="12" fillId="0" borderId="0" xfId="6" applyNumberFormat="1" applyFont="1" applyFill="1" applyAlignment="1">
      <alignment horizontal="center"/>
    </xf>
    <xf numFmtId="170" fontId="12" fillId="0" borderId="93" xfId="0" applyNumberFormat="1" applyFont="1" applyBorder="1" applyAlignment="1">
      <alignment horizontal="center"/>
    </xf>
    <xf numFmtId="174" fontId="12" fillId="0" borderId="97" xfId="0" applyNumberFormat="1" applyFont="1" applyFill="1" applyBorder="1" applyProtection="1"/>
    <xf numFmtId="174" fontId="14" fillId="0" borderId="47" xfId="0" applyNumberFormat="1" applyFont="1" applyBorder="1" applyProtection="1"/>
    <xf numFmtId="174" fontId="14" fillId="0" borderId="42" xfId="0" applyNumberFormat="1" applyFont="1" applyBorder="1" applyProtection="1"/>
    <xf numFmtId="174" fontId="14" fillId="0" borderId="76" xfId="0" applyNumberFormat="1" applyFont="1" applyBorder="1" applyProtection="1"/>
    <xf numFmtId="174" fontId="12" fillId="0" borderId="76" xfId="1" applyNumberFormat="1" applyFont="1" applyFill="1" applyBorder="1" applyProtection="1"/>
    <xf numFmtId="174" fontId="14" fillId="0" borderId="64" xfId="0" applyNumberFormat="1" applyFont="1" applyFill="1" applyBorder="1" applyProtection="1"/>
    <xf numFmtId="174" fontId="14" fillId="0" borderId="36" xfId="0" applyNumberFormat="1" applyFont="1" applyBorder="1" applyProtection="1"/>
    <xf numFmtId="174" fontId="14" fillId="0" borderId="77" xfId="0" applyNumberFormat="1" applyFont="1" applyBorder="1" applyProtection="1"/>
    <xf numFmtId="0" fontId="7" fillId="0" borderId="0" xfId="0" applyFont="1" applyFill="1" applyAlignment="1" applyProtection="1">
      <alignment horizontal="left" indent="1"/>
      <protection locked="0"/>
    </xf>
    <xf numFmtId="0" fontId="12" fillId="0" borderId="0" xfId="0" applyFont="1" applyFill="1" applyAlignment="1" applyProtection="1">
      <alignment horizontal="left" indent="1"/>
      <protection locked="0"/>
    </xf>
    <xf numFmtId="164" fontId="12" fillId="17" borderId="47" xfId="1" applyNumberFormat="1" applyFont="1" applyFill="1" applyBorder="1" applyAlignment="1" applyProtection="1">
      <alignment horizontal="right"/>
      <protection locked="0"/>
    </xf>
    <xf numFmtId="164" fontId="12" fillId="17" borderId="47" xfId="1" applyNumberFormat="1" applyFont="1" applyFill="1" applyBorder="1" applyProtection="1">
      <protection locked="0"/>
    </xf>
    <xf numFmtId="41" fontId="9" fillId="0" borderId="9" xfId="0" applyNumberFormat="1" applyFont="1" applyFill="1" applyBorder="1" applyAlignment="1" applyProtection="1">
      <alignment horizontal="left"/>
    </xf>
    <xf numFmtId="41" fontId="14" fillId="0" borderId="10" xfId="0" applyNumberFormat="1" applyFont="1" applyFill="1" applyBorder="1" applyAlignment="1" applyProtection="1">
      <alignment horizontal="center" vertical="center" wrapText="1"/>
    </xf>
    <xf numFmtId="41" fontId="14" fillId="0" borderId="7" xfId="0" applyNumberFormat="1" applyFont="1" applyBorder="1" applyAlignment="1" applyProtection="1">
      <alignment horizontal="center"/>
    </xf>
    <xf numFmtId="41" fontId="14" fillId="0" borderId="8" xfId="0" applyNumberFormat="1" applyFont="1" applyBorder="1" applyAlignment="1">
      <alignment horizontal="right"/>
    </xf>
    <xf numFmtId="41" fontId="12" fillId="17" borderId="8" xfId="0" applyNumberFormat="1" applyFont="1" applyFill="1" applyBorder="1" applyAlignment="1" applyProtection="1">
      <alignment horizontal="right"/>
      <protection locked="0"/>
    </xf>
    <xf numFmtId="41" fontId="12" fillId="0" borderId="10" xfId="0" applyNumberFormat="1" applyFont="1" applyBorder="1" applyProtection="1"/>
    <xf numFmtId="41" fontId="12" fillId="0" borderId="7" xfId="0" applyNumberFormat="1" applyFont="1" applyBorder="1" applyProtection="1"/>
    <xf numFmtId="41" fontId="12" fillId="17" borderId="8" xfId="0" applyNumberFormat="1" applyFont="1" applyFill="1" applyBorder="1" applyProtection="1">
      <protection locked="0"/>
    </xf>
    <xf numFmtId="41" fontId="12" fillId="9" borderId="42" xfId="0" applyNumberFormat="1" applyFont="1" applyFill="1" applyBorder="1" applyProtection="1">
      <protection locked="0"/>
    </xf>
    <xf numFmtId="41" fontId="14" fillId="0" borderId="8" xfId="0" applyNumberFormat="1" applyFont="1" applyBorder="1"/>
    <xf numFmtId="41" fontId="14" fillId="0" borderId="0" xfId="0" applyNumberFormat="1" applyFont="1" applyFill="1" applyBorder="1" applyProtection="1">
      <protection locked="0"/>
    </xf>
    <xf numFmtId="41" fontId="14" fillId="0" borderId="0" xfId="0" applyNumberFormat="1" applyFont="1" applyBorder="1" applyProtection="1">
      <protection locked="0"/>
    </xf>
    <xf numFmtId="41" fontId="12" fillId="0" borderId="0" xfId="1" applyNumberFormat="1" applyFont="1" applyProtection="1">
      <protection locked="0"/>
    </xf>
    <xf numFmtId="41" fontId="12" fillId="0" borderId="0" xfId="0" applyNumberFormat="1" applyFont="1"/>
    <xf numFmtId="41" fontId="12" fillId="0" borderId="0" xfId="1" applyNumberFormat="1" applyFont="1" applyProtection="1"/>
    <xf numFmtId="174" fontId="14" fillId="20" borderId="47" xfId="0" applyNumberFormat="1" applyFont="1" applyFill="1" applyBorder="1" applyAlignment="1">
      <alignment horizontal="right"/>
    </xf>
    <xf numFmtId="174" fontId="14" fillId="20" borderId="42" xfId="0" applyNumberFormat="1" applyFont="1" applyFill="1" applyBorder="1" applyAlignment="1">
      <alignment horizontal="right"/>
    </xf>
    <xf numFmtId="0" fontId="12" fillId="22" borderId="3" xfId="0" applyFont="1" applyFill="1" applyBorder="1" applyAlignment="1" applyProtection="1">
      <alignment horizontal="left" indent="1"/>
    </xf>
    <xf numFmtId="0" fontId="12" fillId="22" borderId="42" xfId="0" applyNumberFormat="1" applyFont="1" applyFill="1" applyBorder="1" applyProtection="1">
      <protection locked="0"/>
    </xf>
    <xf numFmtId="0" fontId="12" fillId="0" borderId="0" xfId="0" applyFont="1" applyFill="1" applyBorder="1" applyAlignment="1" applyProtection="1">
      <alignment horizontal="left" indent="1"/>
    </xf>
    <xf numFmtId="174" fontId="14" fillId="17" borderId="42" xfId="0" applyNumberFormat="1" applyFont="1" applyFill="1" applyBorder="1" applyAlignment="1">
      <alignment horizontal="right"/>
    </xf>
    <xf numFmtId="174" fontId="14" fillId="17" borderId="8" xfId="0" applyNumberFormat="1" applyFont="1" applyFill="1" applyBorder="1" applyAlignment="1">
      <alignment horizontal="right"/>
    </xf>
    <xf numFmtId="174" fontId="14" fillId="17" borderId="3" xfId="0" applyNumberFormat="1" applyFont="1" applyFill="1" applyBorder="1" applyAlignment="1">
      <alignment horizontal="right"/>
    </xf>
    <xf numFmtId="174" fontId="14" fillId="17" borderId="0" xfId="0" applyNumberFormat="1" applyFont="1" applyFill="1" applyBorder="1" applyAlignment="1">
      <alignment horizontal="right"/>
    </xf>
    <xf numFmtId="0" fontId="12" fillId="17" borderId="0" xfId="0" applyFont="1" applyFill="1"/>
    <xf numFmtId="174" fontId="12" fillId="17" borderId="8" xfId="0" applyNumberFormat="1" applyFont="1" applyFill="1" applyBorder="1" applyAlignment="1">
      <alignment horizontal="right"/>
    </xf>
    <xf numFmtId="2" fontId="9" fillId="0" borderId="9" xfId="0" applyNumberFormat="1" applyFont="1" applyFill="1" applyBorder="1" applyAlignment="1">
      <alignment horizontal="left"/>
    </xf>
    <xf numFmtId="2" fontId="14" fillId="0" borderId="4" xfId="0" applyNumberFormat="1" applyFont="1" applyFill="1" applyBorder="1" applyAlignment="1">
      <alignment horizontal="center" vertical="center" wrapText="1"/>
    </xf>
    <xf numFmtId="2" fontId="14" fillId="0" borderId="36" xfId="0" applyNumberFormat="1" applyFont="1" applyFill="1" applyBorder="1" applyAlignment="1">
      <alignment horizontal="center" vertical="center" wrapText="1"/>
    </xf>
    <xf numFmtId="2" fontId="14" fillId="0" borderId="10" xfId="0" applyNumberFormat="1" applyFont="1" applyFill="1" applyBorder="1" applyAlignment="1">
      <alignment horizontal="center" vertical="center" wrapText="1"/>
    </xf>
    <xf numFmtId="2" fontId="12" fillId="17" borderId="1" xfId="6" applyNumberFormat="1" applyFont="1" applyFill="1" applyBorder="1" applyAlignment="1" applyProtection="1">
      <alignment horizontal="center" vertical="top" wrapText="1"/>
      <protection locked="0"/>
    </xf>
    <xf numFmtId="2" fontId="12" fillId="17" borderId="11" xfId="6" applyNumberFormat="1" applyFont="1" applyFill="1" applyBorder="1" applyAlignment="1" applyProtection="1">
      <alignment horizontal="center" vertical="top" wrapText="1"/>
      <protection locked="0"/>
    </xf>
    <xf numFmtId="2" fontId="12" fillId="17" borderId="44" xfId="6" applyNumberFormat="1" applyFont="1" applyFill="1" applyBorder="1" applyAlignment="1" applyProtection="1">
      <alignment horizontal="center" vertical="top" wrapText="1"/>
      <protection locked="0"/>
    </xf>
    <xf numFmtId="2" fontId="12" fillId="17" borderId="5" xfId="6" applyNumberFormat="1" applyFont="1" applyFill="1" applyBorder="1" applyAlignment="1" applyProtection="1">
      <alignment horizontal="center" vertical="top" wrapText="1"/>
      <protection locked="0"/>
    </xf>
    <xf numFmtId="2" fontId="17" fillId="0" borderId="0" xfId="1" applyNumberFormat="1" applyFont="1" applyFill="1" applyBorder="1" applyAlignment="1">
      <alignment vertical="top" wrapText="1"/>
    </xf>
    <xf numFmtId="2" fontId="12" fillId="0" borderId="0" xfId="0" applyNumberFormat="1" applyFont="1"/>
    <xf numFmtId="2" fontId="12" fillId="17" borderId="3" xfId="6" applyNumberFormat="1" applyFont="1" applyFill="1" applyBorder="1" applyAlignment="1" applyProtection="1">
      <alignment horizontal="center" vertical="top" wrapText="1"/>
      <protection locked="0"/>
    </xf>
    <xf numFmtId="2" fontId="12" fillId="17" borderId="42" xfId="6" applyNumberFormat="1" applyFont="1" applyFill="1" applyBorder="1" applyAlignment="1" applyProtection="1">
      <alignment horizontal="center" vertical="top" wrapText="1"/>
      <protection locked="0"/>
    </xf>
    <xf numFmtId="2" fontId="12" fillId="17" borderId="0" xfId="6" applyNumberFormat="1" applyFont="1" applyFill="1" applyBorder="1" applyAlignment="1" applyProtection="1">
      <alignment horizontal="center" vertical="top" wrapText="1"/>
      <protection locked="0"/>
    </xf>
    <xf numFmtId="2" fontId="12" fillId="17" borderId="45" xfId="6" applyNumberFormat="1" applyFont="1" applyFill="1" applyBorder="1" applyAlignment="1" applyProtection="1">
      <alignment horizontal="center" vertical="top" wrapText="1"/>
      <protection locked="0"/>
    </xf>
    <xf numFmtId="2" fontId="12" fillId="17" borderId="47" xfId="6" applyNumberFormat="1" applyFont="1" applyFill="1" applyBorder="1" applyAlignment="1" applyProtection="1">
      <alignment horizontal="center" vertical="top" wrapText="1"/>
      <protection locked="0"/>
    </xf>
    <xf numFmtId="2" fontId="12" fillId="17" borderId="12" xfId="6" applyNumberFormat="1" applyFont="1" applyFill="1" applyBorder="1" applyAlignment="1" applyProtection="1">
      <alignment horizontal="center" vertical="top" wrapText="1"/>
      <protection locked="0"/>
    </xf>
    <xf numFmtId="2" fontId="12" fillId="17" borderId="43" xfId="6" applyNumberFormat="1" applyFont="1" applyFill="1" applyBorder="1" applyAlignment="1" applyProtection="1">
      <alignment horizontal="center" vertical="top" wrapText="1"/>
      <protection locked="0"/>
    </xf>
    <xf numFmtId="2" fontId="12" fillId="17" borderId="6" xfId="6" applyNumberFormat="1" applyFont="1" applyFill="1" applyBorder="1" applyAlignment="1" applyProtection="1">
      <alignment horizontal="center" vertical="top" wrapText="1"/>
      <protection locked="0"/>
    </xf>
    <xf numFmtId="2" fontId="12" fillId="17" borderId="3" xfId="0" applyNumberFormat="1" applyFont="1" applyFill="1" applyBorder="1" applyAlignment="1" applyProtection="1">
      <alignment horizontal="center" vertical="top" wrapText="1"/>
      <protection locked="0"/>
    </xf>
    <xf numFmtId="2" fontId="12" fillId="17" borderId="42" xfId="0" applyNumberFormat="1" applyFont="1" applyFill="1" applyBorder="1" applyAlignment="1" applyProtection="1">
      <alignment horizontal="center" vertical="top" wrapText="1"/>
      <protection locked="0"/>
    </xf>
    <xf numFmtId="2" fontId="12" fillId="17" borderId="0" xfId="0" applyNumberFormat="1" applyFont="1" applyFill="1" applyBorder="1" applyAlignment="1" applyProtection="1">
      <alignment horizontal="center" vertical="top" wrapText="1"/>
      <protection locked="0"/>
    </xf>
    <xf numFmtId="2" fontId="12" fillId="17" borderId="47" xfId="0" applyNumberFormat="1" applyFont="1" applyFill="1" applyBorder="1" applyAlignment="1" applyProtection="1">
      <alignment horizontal="center" vertical="top" wrapText="1"/>
      <protection locked="0"/>
    </xf>
    <xf numFmtId="2" fontId="12" fillId="17" borderId="12" xfId="1" applyNumberFormat="1" applyFont="1" applyFill="1" applyBorder="1" applyAlignment="1" applyProtection="1">
      <alignment horizontal="center" vertical="top" wrapText="1"/>
      <protection locked="0"/>
    </xf>
    <xf numFmtId="2" fontId="12" fillId="17" borderId="43" xfId="1" applyNumberFormat="1" applyFont="1" applyFill="1" applyBorder="1" applyAlignment="1" applyProtection="1">
      <alignment horizontal="center" vertical="top" wrapText="1"/>
      <protection locked="0"/>
    </xf>
    <xf numFmtId="2" fontId="12" fillId="17" borderId="6" xfId="1" applyNumberFormat="1" applyFont="1" applyFill="1" applyBorder="1" applyAlignment="1" applyProtection="1">
      <alignment horizontal="center" vertical="top" wrapText="1"/>
      <protection locked="0"/>
    </xf>
    <xf numFmtId="2" fontId="12" fillId="17" borderId="45" xfId="1" applyNumberFormat="1" applyFont="1" applyFill="1" applyBorder="1" applyAlignment="1" applyProtection="1">
      <alignment horizontal="center" vertical="top" wrapText="1"/>
      <protection locked="0"/>
    </xf>
    <xf numFmtId="2" fontId="12" fillId="17" borderId="47" xfId="1" applyNumberFormat="1" applyFont="1" applyFill="1" applyBorder="1" applyAlignment="1" applyProtection="1">
      <alignment horizontal="center" vertical="top" wrapText="1"/>
      <protection locked="0"/>
    </xf>
    <xf numFmtId="2" fontId="12" fillId="17" borderId="4" xfId="0" applyNumberFormat="1" applyFont="1" applyFill="1" applyBorder="1" applyAlignment="1" applyProtection="1">
      <alignment horizontal="center" vertical="top" wrapText="1"/>
      <protection locked="0"/>
    </xf>
    <xf numFmtId="2" fontId="12" fillId="17" borderId="36" xfId="0" applyNumberFormat="1" applyFont="1" applyFill="1" applyBorder="1" applyAlignment="1" applyProtection="1">
      <alignment horizontal="center" vertical="top" wrapText="1"/>
      <protection locked="0"/>
    </xf>
    <xf numFmtId="2" fontId="12" fillId="17" borderId="9" xfId="0" applyNumberFormat="1" applyFont="1" applyFill="1" applyBorder="1" applyAlignment="1" applyProtection="1">
      <alignment horizontal="center" vertical="top" wrapText="1"/>
      <protection locked="0"/>
    </xf>
    <xf numFmtId="2" fontId="12" fillId="17" borderId="64" xfId="0" applyNumberFormat="1" applyFont="1" applyFill="1" applyBorder="1" applyAlignment="1" applyProtection="1">
      <alignment horizontal="center" vertical="top" wrapText="1"/>
      <protection locked="0"/>
    </xf>
    <xf numFmtId="179" fontId="14" fillId="17" borderId="44" xfId="6" applyNumberFormat="1" applyFont="1" applyFill="1" applyBorder="1" applyAlignment="1" applyProtection="1">
      <alignment vertical="top" wrapText="1"/>
      <protection locked="0"/>
    </xf>
    <xf numFmtId="0" fontId="6" fillId="17" borderId="8" xfId="2" applyFill="1" applyBorder="1" applyAlignment="1" applyProtection="1">
      <alignment horizontal="justify" vertical="top" wrapText="1"/>
      <protection locked="0"/>
    </xf>
    <xf numFmtId="0" fontId="6" fillId="17" borderId="8" xfId="2" applyFill="1" applyBorder="1" applyAlignment="1" applyProtection="1">
      <alignment horizontal="justify" wrapText="1"/>
      <protection locked="0"/>
    </xf>
    <xf numFmtId="0" fontId="6" fillId="17" borderId="7" xfId="2" applyFill="1" applyBorder="1" applyAlignment="1" applyProtection="1">
      <alignment horizontal="justify" wrapText="1"/>
      <protection locked="0"/>
    </xf>
    <xf numFmtId="0" fontId="5" fillId="16" borderId="17" xfId="0" applyFont="1" applyFill="1" applyBorder="1" applyAlignment="1" applyProtection="1">
      <alignment horizontal="left"/>
    </xf>
    <xf numFmtId="0" fontId="5" fillId="16" borderId="35" xfId="0" applyFont="1" applyFill="1" applyBorder="1" applyAlignment="1" applyProtection="1">
      <alignment horizontal="left"/>
    </xf>
    <xf numFmtId="0" fontId="5" fillId="16" borderId="34" xfId="0" applyFont="1" applyFill="1" applyBorder="1" applyAlignment="1" applyProtection="1">
      <alignment horizontal="left"/>
    </xf>
    <xf numFmtId="0" fontId="5" fillId="5" borderId="17" xfId="0" applyFont="1" applyFill="1" applyBorder="1" applyAlignment="1" applyProtection="1">
      <alignment horizontal="left"/>
    </xf>
    <xf numFmtId="0" fontId="5" fillId="5" borderId="34" xfId="0" applyFont="1" applyFill="1" applyBorder="1" applyAlignment="1" applyProtection="1">
      <alignment horizontal="left"/>
    </xf>
    <xf numFmtId="0" fontId="5" fillId="6" borderId="17" xfId="0" applyFont="1" applyFill="1" applyBorder="1" applyAlignment="1" applyProtection="1">
      <alignment horizontal="center"/>
    </xf>
    <xf numFmtId="0" fontId="5" fillId="6" borderId="34" xfId="0" applyFont="1" applyFill="1" applyBorder="1" applyAlignment="1" applyProtection="1">
      <alignment horizontal="center"/>
    </xf>
    <xf numFmtId="0" fontId="5" fillId="11" borderId="17" xfId="0" applyFont="1" applyFill="1" applyBorder="1" applyAlignment="1" applyProtection="1">
      <alignment horizontal="center"/>
    </xf>
    <xf numFmtId="0" fontId="5" fillId="11" borderId="34" xfId="0" applyFont="1" applyFill="1" applyBorder="1" applyAlignment="1" applyProtection="1">
      <alignment horizontal="center"/>
    </xf>
    <xf numFmtId="0" fontId="5" fillId="5" borderId="35" xfId="0" applyFont="1" applyFill="1" applyBorder="1" applyAlignment="1" applyProtection="1">
      <alignment horizontal="left"/>
    </xf>
    <xf numFmtId="0" fontId="9" fillId="0" borderId="17" xfId="0" applyFont="1" applyBorder="1" applyAlignment="1" applyProtection="1">
      <alignment horizontal="justify" wrapText="1"/>
    </xf>
    <xf numFmtId="0" fontId="7" fillId="0" borderId="34" xfId="0" applyFont="1" applyBorder="1" applyAlignment="1">
      <alignment horizontal="justify" wrapText="1"/>
    </xf>
    <xf numFmtId="0" fontId="9" fillId="0" borderId="121" xfId="0" applyFont="1" applyBorder="1" applyAlignment="1" applyProtection="1">
      <alignment horizontal="justify" vertical="center" wrapText="1"/>
    </xf>
    <xf numFmtId="0" fontId="7" fillId="0" borderId="122" xfId="0" applyFont="1" applyBorder="1" applyAlignment="1">
      <alignment horizontal="justify" vertical="center" wrapText="1"/>
    </xf>
    <xf numFmtId="0" fontId="9" fillId="0" borderId="3" xfId="0" applyFont="1" applyFill="1" applyBorder="1" applyAlignment="1" applyProtection="1">
      <alignment horizontal="justify" wrapText="1"/>
    </xf>
    <xf numFmtId="0" fontId="7" fillId="0" borderId="8" xfId="0" applyFont="1" applyFill="1" applyBorder="1" applyAlignment="1">
      <alignment horizontal="justify" wrapText="1"/>
    </xf>
    <xf numFmtId="0" fontId="32" fillId="0" borderId="125" xfId="0" applyFont="1" applyBorder="1" applyAlignment="1" applyProtection="1">
      <alignment horizontal="justify" vertical="center" wrapText="1"/>
    </xf>
    <xf numFmtId="0" fontId="31" fillId="0" borderId="126" xfId="0" applyFont="1" applyBorder="1" applyAlignment="1">
      <alignment horizontal="justify" vertical="center" wrapText="1"/>
    </xf>
    <xf numFmtId="0" fontId="9" fillId="0" borderId="12" xfId="0" applyFont="1" applyFill="1" applyBorder="1" applyAlignment="1" applyProtection="1">
      <alignment horizontal="justify" wrapText="1"/>
    </xf>
    <xf numFmtId="0" fontId="7" fillId="0" borderId="7" xfId="0" applyFont="1" applyFill="1" applyBorder="1" applyAlignment="1">
      <alignment horizontal="justify" wrapText="1"/>
    </xf>
    <xf numFmtId="0" fontId="9" fillId="0" borderId="123" xfId="0" applyFont="1" applyBorder="1" applyAlignment="1" applyProtection="1">
      <alignment horizontal="justify" wrapText="1"/>
    </xf>
    <xf numFmtId="0" fontId="7" fillId="0" borderId="124" xfId="0" applyFont="1" applyBorder="1" applyAlignment="1">
      <alignment horizontal="justify" wrapText="1"/>
    </xf>
    <xf numFmtId="0" fontId="9" fillId="0" borderId="125" xfId="0" applyFont="1" applyBorder="1" applyAlignment="1" applyProtection="1">
      <alignment horizontal="justify" vertical="center" wrapText="1"/>
    </xf>
    <xf numFmtId="0" fontId="7" fillId="0" borderId="126" xfId="0" applyFont="1" applyBorder="1" applyAlignment="1">
      <alignment horizontal="justify" vertical="center" wrapText="1"/>
    </xf>
    <xf numFmtId="0" fontId="9" fillId="0" borderId="0" xfId="0" applyFont="1" applyBorder="1" applyAlignment="1" applyProtection="1">
      <alignment horizontal="justify" vertical="top" wrapText="1"/>
    </xf>
    <xf numFmtId="0" fontId="32" fillId="0" borderId="120" xfId="0" applyFont="1" applyBorder="1" applyAlignment="1" applyProtection="1">
      <alignment horizontal="justify" vertical="center" wrapText="1"/>
    </xf>
    <xf numFmtId="0" fontId="31" fillId="0" borderId="120" xfId="0" applyFont="1" applyBorder="1" applyAlignment="1">
      <alignment horizontal="justify" vertical="center" wrapText="1"/>
    </xf>
    <xf numFmtId="0" fontId="32" fillId="0" borderId="121" xfId="0" applyFont="1" applyBorder="1" applyAlignment="1" applyProtection="1">
      <alignment horizontal="justify" vertical="center"/>
    </xf>
    <xf numFmtId="0" fontId="7" fillId="0" borderId="122" xfId="0" applyFont="1" applyBorder="1" applyAlignment="1">
      <alignment horizontal="justify" vertical="center"/>
    </xf>
    <xf numFmtId="0" fontId="17" fillId="0" borderId="0"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0" xfId="0" applyFont="1" applyBorder="1" applyAlignment="1" applyProtection="1">
      <alignment horizontal="justify" vertical="top" wrapText="1"/>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8" xfId="0" applyFont="1" applyFill="1" applyBorder="1" applyAlignment="1">
      <alignment horizontal="center" vertical="center"/>
    </xf>
    <xf numFmtId="0" fontId="14" fillId="0" borderId="39" xfId="0" applyFont="1" applyFill="1" applyBorder="1" applyAlignment="1">
      <alignment horizontal="center" vertical="center"/>
    </xf>
    <xf numFmtId="0" fontId="9" fillId="0" borderId="9" xfId="0" applyFont="1" applyFill="1" applyBorder="1" applyAlignment="1">
      <alignment horizontal="left"/>
    </xf>
    <xf numFmtId="0" fontId="23" fillId="0" borderId="9" xfId="0" applyFont="1" applyBorder="1" applyAlignment="1"/>
    <xf numFmtId="0" fontId="17" fillId="0" borderId="0" xfId="0" applyFont="1" applyFill="1" applyBorder="1" applyAlignment="1" applyProtection="1">
      <alignment horizontal="left" vertical="top" wrapText="1"/>
    </xf>
    <xf numFmtId="0" fontId="14" fillId="0" borderId="40" xfId="0" applyFont="1" applyFill="1" applyBorder="1" applyAlignment="1">
      <alignment horizontal="center" vertical="center"/>
    </xf>
    <xf numFmtId="0" fontId="14" fillId="0" borderId="38"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14" fillId="0" borderId="38" xfId="0" applyFont="1" applyFill="1" applyBorder="1" applyAlignment="1" applyProtection="1">
      <alignment horizontal="center" vertical="center" wrapText="1"/>
    </xf>
    <xf numFmtId="0" fontId="14" fillId="0" borderId="39"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2" borderId="17" xfId="0" applyFont="1" applyFill="1" applyBorder="1" applyAlignment="1">
      <alignment horizontal="center" vertical="center" wrapText="1"/>
    </xf>
    <xf numFmtId="0" fontId="23" fillId="0" borderId="35" xfId="0" applyFont="1" applyBorder="1"/>
    <xf numFmtId="0" fontId="23" fillId="0" borderId="34" xfId="0" applyFont="1" applyBorder="1"/>
    <xf numFmtId="0" fontId="14" fillId="2" borderId="35"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7" fillId="0" borderId="0" xfId="0" applyFont="1" applyFill="1" applyBorder="1" applyAlignment="1" applyProtection="1">
      <alignment horizontal="left"/>
    </xf>
    <xf numFmtId="0" fontId="17" fillId="0" borderId="0" xfId="0" quotePrefix="1" applyFont="1" applyBorder="1" applyAlignment="1" applyProtection="1">
      <alignment horizontal="left" wrapText="1"/>
    </xf>
    <xf numFmtId="0" fontId="17" fillId="0" borderId="0" xfId="0" applyFont="1" applyBorder="1" applyAlignment="1" applyProtection="1">
      <alignment horizontal="left" wrapText="1"/>
    </xf>
    <xf numFmtId="0" fontId="14" fillId="0" borderId="38" xfId="0" quotePrefix="1" applyFont="1" applyFill="1" applyBorder="1" applyAlignment="1">
      <alignment horizontal="center" vertical="center" wrapText="1"/>
    </xf>
    <xf numFmtId="0" fontId="14" fillId="0" borderId="40"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1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pplyProtection="1">
      <alignment horizontal="center" vertical="top" wrapText="1"/>
    </xf>
    <xf numFmtId="0" fontId="14" fillId="0" borderId="36" xfId="0" applyFont="1" applyFill="1" applyBorder="1" applyAlignment="1" applyProtection="1">
      <alignment horizontal="center" vertical="top" wrapText="1"/>
    </xf>
    <xf numFmtId="0" fontId="14" fillId="0" borderId="11"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36" xfId="0" applyFont="1" applyFill="1" applyBorder="1" applyAlignment="1">
      <alignment horizontal="center" vertical="center"/>
    </xf>
    <xf numFmtId="0" fontId="14" fillId="0" borderId="75"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2" fontId="14" fillId="0" borderId="38" xfId="0" applyNumberFormat="1" applyFont="1" applyFill="1" applyBorder="1" applyAlignment="1">
      <alignment horizontal="center" vertical="center"/>
    </xf>
    <xf numFmtId="2" fontId="14" fillId="0" borderId="39" xfId="0" applyNumberFormat="1" applyFont="1" applyFill="1" applyBorder="1" applyAlignment="1">
      <alignment horizontal="center" vertical="center"/>
    </xf>
    <xf numFmtId="2" fontId="14" fillId="0" borderId="40" xfId="0" applyNumberFormat="1" applyFont="1" applyFill="1" applyBorder="1" applyAlignment="1">
      <alignment horizontal="center" vertical="center"/>
    </xf>
    <xf numFmtId="0" fontId="17" fillId="0" borderId="0" xfId="0" applyFont="1" applyBorder="1" applyAlignment="1">
      <alignment horizontal="left" vertical="top" wrapText="1"/>
    </xf>
    <xf numFmtId="0" fontId="12" fillId="0" borderId="51" xfId="0" applyFont="1" applyBorder="1" applyAlignment="1">
      <alignment horizontal="left" vertical="center" wrapText="1" indent="1"/>
    </xf>
    <xf numFmtId="0" fontId="12" fillId="0" borderId="47" xfId="0" applyFont="1" applyBorder="1" applyAlignment="1">
      <alignment horizontal="left" vertical="center" wrapText="1" indent="1"/>
    </xf>
    <xf numFmtId="0" fontId="12" fillId="0" borderId="70" xfId="0" applyFont="1" applyBorder="1" applyAlignment="1">
      <alignment horizontal="left" vertical="center" wrapText="1" indent="1"/>
    </xf>
    <xf numFmtId="0" fontId="14" fillId="0" borderId="39" xfId="0" applyFont="1" applyFill="1" applyBorder="1" applyAlignment="1">
      <alignment horizontal="center" vertical="top" wrapText="1"/>
    </xf>
    <xf numFmtId="0" fontId="14" fillId="0" borderId="40" xfId="0" applyFont="1" applyFill="1" applyBorder="1" applyAlignment="1">
      <alignment horizontal="center" vertical="top" wrapText="1"/>
    </xf>
    <xf numFmtId="0" fontId="14" fillId="0" borderId="1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11" xfId="0" applyFont="1" applyFill="1" applyBorder="1" applyAlignment="1">
      <alignment horizontal="center" wrapText="1"/>
    </xf>
    <xf numFmtId="0" fontId="12" fillId="0" borderId="5" xfId="0" applyFont="1" applyFill="1" applyBorder="1" applyAlignment="1">
      <alignment horizontal="center" wrapText="1"/>
    </xf>
    <xf numFmtId="174" fontId="9" fillId="21" borderId="2" xfId="0" applyNumberFormat="1" applyFont="1" applyFill="1" applyBorder="1" applyAlignment="1" applyProtection="1">
      <alignment horizontal="center" vertical="center"/>
      <protection locked="0"/>
    </xf>
    <xf numFmtId="0" fontId="14" fillId="0" borderId="6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4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45" xfId="0" applyFont="1" applyFill="1" applyBorder="1" applyAlignment="1" applyProtection="1">
      <alignment horizontal="center" vertical="center"/>
    </xf>
    <xf numFmtId="0" fontId="14" fillId="0" borderId="64"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14" fillId="0" borderId="43"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4" fillId="0" borderId="75" xfId="0" applyFont="1" applyFill="1" applyBorder="1" applyAlignment="1" applyProtection="1">
      <alignment horizontal="center" vertical="center" wrapText="1"/>
    </xf>
    <xf numFmtId="0" fontId="14" fillId="0" borderId="77" xfId="0"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protection locked="0"/>
    </xf>
    <xf numFmtId="0" fontId="14" fillId="0"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48" xfId="0" applyFont="1" applyFill="1" applyBorder="1" applyAlignment="1">
      <alignment horizontal="center" vertical="top" wrapText="1"/>
    </xf>
    <xf numFmtId="0" fontId="14" fillId="0" borderId="49" xfId="0" applyFont="1" applyFill="1" applyBorder="1" applyAlignment="1">
      <alignment horizontal="center" vertical="top" wrapText="1"/>
    </xf>
    <xf numFmtId="0" fontId="14" fillId="0" borderId="43"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119"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 xfId="0" applyFont="1" applyFill="1" applyBorder="1" applyAlignment="1">
      <alignment horizontal="center" vertical="center"/>
    </xf>
    <xf numFmtId="0" fontId="17" fillId="0" borderId="0" xfId="0" applyNumberFormat="1" applyFont="1" applyBorder="1" applyAlignment="1" applyProtection="1">
      <alignment wrapText="1"/>
    </xf>
    <xf numFmtId="0" fontId="23" fillId="0" borderId="0" xfId="0" applyFont="1" applyAlignment="1" applyProtection="1">
      <alignment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64"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93"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5" fillId="2" borderId="17" xfId="0" applyFont="1" applyFill="1" applyBorder="1" applyAlignment="1">
      <alignment horizontal="center"/>
    </xf>
    <xf numFmtId="0" fontId="5" fillId="2" borderId="35" xfId="0" applyFont="1" applyFill="1" applyBorder="1" applyAlignment="1">
      <alignment horizontal="center"/>
    </xf>
    <xf numFmtId="0" fontId="5" fillId="2" borderId="34" xfId="0" applyFont="1" applyFill="1" applyBorder="1" applyAlignment="1">
      <alignment horizontal="center"/>
    </xf>
    <xf numFmtId="0" fontId="5" fillId="2"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27" xfId="0" applyFont="1" applyFill="1" applyBorder="1" applyAlignment="1">
      <alignment horizontal="center" vertical="center" wrapText="1"/>
    </xf>
    <xf numFmtId="0" fontId="5" fillId="2" borderId="128" xfId="0" applyFont="1" applyFill="1" applyBorder="1" applyAlignment="1">
      <alignment horizontal="center" vertical="center" wrapText="1"/>
    </xf>
    <xf numFmtId="0" fontId="5" fillId="2" borderId="129" xfId="0" applyFont="1" applyFill="1" applyBorder="1" applyAlignment="1">
      <alignment horizontal="center" vertical="center" wrapText="1"/>
    </xf>
    <xf numFmtId="0" fontId="5" fillId="5" borderId="17"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14" borderId="17" xfId="0" applyFont="1" applyFill="1" applyBorder="1" applyAlignment="1">
      <alignment horizontal="center"/>
    </xf>
    <xf numFmtId="0" fontId="5" fillId="14" borderId="35" xfId="0" applyFont="1" applyFill="1" applyBorder="1" applyAlignment="1">
      <alignment horizontal="center"/>
    </xf>
    <xf numFmtId="0" fontId="5" fillId="14" borderId="34" xfId="0" applyFont="1" applyFill="1" applyBorder="1" applyAlignment="1">
      <alignment horizontal="center"/>
    </xf>
    <xf numFmtId="0" fontId="5" fillId="5" borderId="17" xfId="0" applyFont="1" applyFill="1" applyBorder="1" applyAlignment="1">
      <alignment horizontal="center"/>
    </xf>
    <xf numFmtId="0" fontId="5" fillId="5" borderId="35" xfId="0" applyFont="1" applyFill="1" applyBorder="1" applyAlignment="1">
      <alignment horizontal="center"/>
    </xf>
    <xf numFmtId="0" fontId="5" fillId="5" borderId="34" xfId="0" applyFont="1" applyFill="1" applyBorder="1" applyAlignment="1">
      <alignment horizontal="center"/>
    </xf>
  </cellXfs>
  <cellStyles count="8">
    <cellStyle name="Comma" xfId="1" builtinId="3"/>
    <cellStyle name="Hyperlink" xfId="2" builtinId="8"/>
    <cellStyle name="Hyperlink_AppA_Muncde_2010" xfId="3"/>
    <cellStyle name="Hyperlink_Bills" xfId="4"/>
    <cellStyle name="Normal" xfId="0" builtinId="0"/>
    <cellStyle name="Normal_Final cover - LG Reporting" xfId="5"/>
    <cellStyle name="Percent" xfId="6" builtinId="5"/>
    <cellStyle name="Percent 10 2" xfId="7"/>
  </cellStyles>
  <dxfs count="4">
    <dxf>
      <font>
        <b/>
        <i val="0"/>
        <color rgb="FFFF0000"/>
      </font>
    </dxf>
    <dxf>
      <font>
        <color rgb="FF9C0006"/>
      </font>
    </dxf>
    <dxf>
      <font>
        <b/>
        <i val="0"/>
        <color rgb="FFFF0000"/>
      </font>
    </dxf>
    <dxf>
      <font>
        <b/>
        <i val="0"/>
        <color rgb="FFFF000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4.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5.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6.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3" val="2"/>
</file>

<file path=xl/ctrlProps/ctrlProp3.xml><?xml version="1.0" encoding="utf-8"?>
<formControlPr xmlns="http://schemas.microsoft.com/office/spreadsheetml/2009/9/main" objectType="Drop" dropLines="6" dropStyle="combo" dx="22" fmlaLink="$X$33" fmlaRange="$X$17:$X$31" noThreeD="1" sel="8" val="6"/>
</file>

<file path=xl/ctrlProps/ctrlProp4.xml><?xml version="1.0" encoding="utf-8"?>
<formControlPr xmlns="http://schemas.microsoft.com/office/spreadsheetml/2009/9/main" objectType="Drop" dropLines="10" dropStyle="combo" dx="22" fmlaLink="'Lookup and lists'!$B$27" fmlaRange="'Lookup and lists'!$B$29:$C$307" noThreeD="1" sel="186" val="180"/>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MFMA/Guidelines/MFMA%20Funding%20compliance/MFMA%20Funding%20compliance%20guideline%20-%2010%20March%202008.pdf" TargetMode="External"/><Relationship Id="rId3" Type="http://schemas.openxmlformats.org/officeDocument/2006/relationships/image" Target="../media/image16.emf"/><Relationship Id="rId7" Type="http://schemas.openxmlformats.org/officeDocument/2006/relationships/hyperlink" Target="http://mfma.treasury.gov.za/RegulationsandGazettes/Municipal%20Budget%20and%20Reporting%20Regulations/regulation2012-2013/Documents/Budget%20Format%20Guidelines_%202012_13.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turn_Forms/Pages/default.aspx" TargetMode="External"/><Relationship Id="rId4" Type="http://schemas.openxmlformats.org/officeDocument/2006/relationships/hyperlink" Target="http://mfma.treasury.gov.za/Circular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265432" name="Group 316"/>
        <xdr:cNvGrpSpPr>
          <a:grpSpLocks/>
        </xdr:cNvGrpSpPr>
      </xdr:nvGrpSpPr>
      <xdr:grpSpPr bwMode="auto">
        <a:xfrm>
          <a:off x="0" y="0"/>
          <a:ext cx="7534275" cy="6400800"/>
          <a:chOff x="0" y="0"/>
          <a:chExt cx="791" cy="672"/>
        </a:xfrm>
      </xdr:grpSpPr>
      <xdr:grpSp>
        <xdr:nvGrpSpPr>
          <xdr:cNvPr id="265434" name="Group 11"/>
          <xdr:cNvGrpSpPr>
            <a:grpSpLocks/>
          </xdr:cNvGrpSpPr>
        </xdr:nvGrpSpPr>
        <xdr:grpSpPr bwMode="auto">
          <a:xfrm>
            <a:off x="0" y="0"/>
            <a:ext cx="791" cy="672"/>
            <a:chOff x="0" y="0"/>
            <a:chExt cx="791" cy="672"/>
          </a:xfrm>
        </xdr:grpSpPr>
        <xdr:grpSp>
          <xdr:nvGrpSpPr>
            <xdr:cNvPr id="265436" name="Group 12"/>
            <xdr:cNvGrpSpPr>
              <a:grpSpLocks/>
            </xdr:cNvGrpSpPr>
          </xdr:nvGrpSpPr>
          <xdr:grpSpPr bwMode="auto">
            <a:xfrm>
              <a:off x="0" y="0"/>
              <a:ext cx="791" cy="672"/>
              <a:chOff x="12" y="17"/>
              <a:chExt cx="791" cy="672"/>
            </a:xfrm>
          </xdr:grpSpPr>
          <xdr:pic>
            <xdr:nvPicPr>
              <xdr:cNvPr id="265438" name="Picture 1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5439" name="Picture 1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65440" name="Group 15"/>
              <xdr:cNvGrpSpPr>
                <a:grpSpLocks/>
              </xdr:cNvGrpSpPr>
            </xdr:nvGrpSpPr>
            <xdr:grpSpPr bwMode="auto">
              <a:xfrm>
                <a:off x="416" y="255"/>
                <a:ext cx="367" cy="413"/>
                <a:chOff x="416" y="255"/>
                <a:chExt cx="367" cy="413"/>
              </a:xfrm>
            </xdr:grpSpPr>
            <xdr:pic>
              <xdr:nvPicPr>
                <xdr:cNvPr id="265445"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65446" name="Group 17"/>
                <xdr:cNvGrpSpPr>
                  <a:grpSpLocks/>
                </xdr:cNvGrpSpPr>
              </xdr:nvGrpSpPr>
              <xdr:grpSpPr bwMode="auto">
                <a:xfrm>
                  <a:off x="432" y="264"/>
                  <a:ext cx="286" cy="128"/>
                  <a:chOff x="426" y="263"/>
                  <a:chExt cx="290" cy="130"/>
                </a:xfrm>
              </xdr:grpSpPr>
              <xdr:pic>
                <xdr:nvPicPr>
                  <xdr:cNvPr id="265448"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5449"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Elsabé Rossouw</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submissions: </a:t>
                  </a:r>
                </a:p>
                <a:p>
                  <a:pPr algn="l" rtl="1">
                    <a:defRPr sz="1000"/>
                  </a:pPr>
                  <a:r>
                    <a:rPr lang="en-US" sz="1000" b="0" i="0" strike="noStrike">
                      <a:solidFill>
                        <a:srgbClr val="000000"/>
                      </a:solidFill>
                      <a:latin typeface="Calibri"/>
                    </a:rPr>
                    <a:t>                           lgdocuments@treasury.gov.za</a:t>
                  </a:r>
                </a:p>
                <a:p>
                  <a:pPr algn="l" rtl="1">
                    <a:defRPr sz="1000"/>
                  </a:pPr>
                  <a:endParaRPr lang="en-US" sz="1000" b="0" i="0" strike="noStrike">
                    <a:solidFill>
                      <a:srgbClr val="000000"/>
                    </a:solidFill>
                    <a:latin typeface="Calibri"/>
                  </a:endParaRPr>
                </a:p>
              </xdr:txBody>
            </xdr:sp>
          </xdr:grpSp>
          <xdr:grpSp>
            <xdr:nvGrpSpPr>
              <xdr:cNvPr id="265441" name="Group 21"/>
              <xdr:cNvGrpSpPr>
                <a:grpSpLocks/>
              </xdr:cNvGrpSpPr>
            </xdr:nvGrpSpPr>
            <xdr:grpSpPr bwMode="auto">
              <a:xfrm>
                <a:off x="76" y="364"/>
                <a:ext cx="289" cy="256"/>
                <a:chOff x="76" y="364"/>
                <a:chExt cx="289" cy="256"/>
              </a:xfrm>
            </xdr:grpSpPr>
            <xdr:pic>
              <xdr:nvPicPr>
                <xdr:cNvPr id="265442" name="Picture 22" descr="J1c"/>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5443" name="Picture 23" descr="J1a"/>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5444" name="Picture 24" descr="J1b"/>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65437" name="Picture 25" descr="A1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2.7.1</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265052"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34300" cy="7515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28</xdr:row>
      <xdr:rowOff>38100</xdr:rowOff>
    </xdr:from>
    <xdr:to>
      <xdr:col>6</xdr:col>
      <xdr:colOff>381000</xdr:colOff>
      <xdr:row>45</xdr:row>
      <xdr:rowOff>66675</xdr:rowOff>
    </xdr:to>
    <xdr:pic>
      <xdr:nvPicPr>
        <xdr:cNvPr id="26505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4572000"/>
          <a:ext cx="386715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209550</xdr:colOff>
          <xdr:row>18</xdr:row>
          <xdr:rowOff>28575</xdr:rowOff>
        </xdr:from>
        <xdr:to>
          <xdr:col>6</xdr:col>
          <xdr:colOff>485775</xdr:colOff>
          <xdr:row>19</xdr:row>
          <xdr:rowOff>123825</xdr:rowOff>
        </xdr:to>
        <xdr:sp macro="" textlink="">
          <xdr:nvSpPr>
            <xdr:cNvPr id="123931" name="Drop Down 27" hidden="1">
              <a:extLst>
                <a:ext uri="{63B3BB69-23CF-44E3-9099-C40C66FF867C}">
                  <a14:compatExt spid="_x0000_s1239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20</xdr:row>
          <xdr:rowOff>114300</xdr:rowOff>
        </xdr:from>
        <xdr:to>
          <xdr:col>7</xdr:col>
          <xdr:colOff>600075</xdr:colOff>
          <xdr:row>22</xdr:row>
          <xdr:rowOff>47625</xdr:rowOff>
        </xdr:to>
        <xdr:sp macro="" textlink="">
          <xdr:nvSpPr>
            <xdr:cNvPr id="123932" name="Drop Down 28" hidden="1">
              <a:extLst>
                <a:ext uri="{63B3BB69-23CF-44E3-9099-C40C66FF867C}">
                  <a14:compatExt spid="_x0000_s1239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15</xdr:row>
          <xdr:rowOff>57150</xdr:rowOff>
        </xdr:from>
        <xdr:to>
          <xdr:col>7</xdr:col>
          <xdr:colOff>247650</xdr:colOff>
          <xdr:row>16</xdr:row>
          <xdr:rowOff>152400</xdr:rowOff>
        </xdr:to>
        <xdr:sp macro="" textlink="">
          <xdr:nvSpPr>
            <xdr:cNvPr id="123936" name="Drop Down 32" hidden="1">
              <a:extLst>
                <a:ext uri="{63B3BB69-23CF-44E3-9099-C40C66FF867C}">
                  <a14:compatExt spid="_x0000_s1239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265068" name="TextBox2"/>
            <xdr:cNvPicPr preferRelativeResize="0">
              <a:picLocks noChangeArrowheads="1" noChangeShapeType="1"/>
              <a:extLst>
                <a:ext uri="{84589F7E-364E-4C9E-8A38-B11213B215E9}">
                  <a14:cameraTool cellRange="FinYear" spid="_x0000_s329069"/>
                </a:ext>
              </a:extLst>
            </xdr:cNvPicPr>
          </xdr:nvPicPr>
          <xdr:blipFill>
            <a:blip xmlns:r="http://schemas.openxmlformats.org/officeDocument/2006/relationships" r:embed="rId3">
              <a:grayscl/>
              <a:biLevel thresh="50000"/>
            </a:blip>
            <a:srcRect/>
            <a:stretch>
              <a:fillRect/>
            </a:stretch>
          </xdr:blipFill>
          <xdr:spPr bwMode="auto">
            <a:xfrm>
              <a:off x="6067425" y="245745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47625</xdr:rowOff>
        </xdr:from>
        <xdr:to>
          <xdr:col>11</xdr:col>
          <xdr:colOff>247650</xdr:colOff>
          <xdr:row>8</xdr:row>
          <xdr:rowOff>142875</xdr:rowOff>
        </xdr:to>
        <xdr:sp macro="" textlink="">
          <xdr:nvSpPr>
            <xdr:cNvPr id="123946" name="TextBox3" hidden="1">
              <a:extLst>
                <a:ext uri="{63B3BB69-23CF-44E3-9099-C40C66FF867C}">
                  <a14:compatExt spid="_x0000_s1239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9</xdr:row>
          <xdr:rowOff>123825</xdr:rowOff>
        </xdr:from>
        <xdr:to>
          <xdr:col>7</xdr:col>
          <xdr:colOff>533400</xdr:colOff>
          <xdr:row>11</xdr:row>
          <xdr:rowOff>57150</xdr:rowOff>
        </xdr:to>
        <xdr:sp macro="" textlink="">
          <xdr:nvSpPr>
            <xdr:cNvPr id="123947" name="TextBox4" hidden="1">
              <a:extLst>
                <a:ext uri="{63B3BB69-23CF-44E3-9099-C40C66FF867C}">
                  <a14:compatExt spid="_x0000_s1239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28575</xdr:rowOff>
        </xdr:from>
        <xdr:to>
          <xdr:col>11</xdr:col>
          <xdr:colOff>247650</xdr:colOff>
          <xdr:row>13</xdr:row>
          <xdr:rowOff>123825</xdr:rowOff>
        </xdr:to>
        <xdr:sp macro="" textlink="">
          <xdr:nvSpPr>
            <xdr:cNvPr id="123948" name="TextBox5" hidden="1">
              <a:extLst>
                <a:ext uri="{63B3BB69-23CF-44E3-9099-C40C66FF867C}">
                  <a14:compatExt spid="_x0000_s1239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23950" name="TextBox6" hidden="1">
              <a:extLst>
                <a:ext uri="{63B3BB69-23CF-44E3-9099-C40C66FF867C}">
                  <a14:compatExt spid="_x0000_s123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66675</xdr:rowOff>
        </xdr:from>
        <xdr:to>
          <xdr:col>5</xdr:col>
          <xdr:colOff>228600</xdr:colOff>
          <xdr:row>39</xdr:row>
          <xdr:rowOff>57150</xdr:rowOff>
        </xdr:to>
        <xdr:sp macro="" textlink="">
          <xdr:nvSpPr>
            <xdr:cNvPr id="124039" name="ToggleReferenceColumns" hidden="1">
              <a:extLst>
                <a:ext uri="{63B3BB69-23CF-44E3-9099-C40C66FF867C}">
                  <a14:compatExt spid="_x0000_s124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35</xdr:row>
          <xdr:rowOff>19050</xdr:rowOff>
        </xdr:from>
        <xdr:to>
          <xdr:col>5</xdr:col>
          <xdr:colOff>238125</xdr:colOff>
          <xdr:row>37</xdr:row>
          <xdr:rowOff>19050</xdr:rowOff>
        </xdr:to>
        <xdr:sp macro="" textlink="">
          <xdr:nvSpPr>
            <xdr:cNvPr id="124040" name="TogglePreAuditColums" hidden="1">
              <a:extLst>
                <a:ext uri="{63B3BB69-23CF-44E3-9099-C40C66FF867C}">
                  <a14:compatExt spid="_x0000_s124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9525</xdr:rowOff>
        </xdr:from>
        <xdr:to>
          <xdr:col>5</xdr:col>
          <xdr:colOff>209550</xdr:colOff>
          <xdr:row>44</xdr:row>
          <xdr:rowOff>28575</xdr:rowOff>
        </xdr:to>
        <xdr:sp macro="" textlink="">
          <xdr:nvSpPr>
            <xdr:cNvPr id="124042" name="ToggleHiddenColumns" hidden="1">
              <a:extLst>
                <a:ext uri="{63B3BB69-23CF-44E3-9099-C40C66FF867C}">
                  <a14:compatExt spid="_x0000_s124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4</xdr:row>
          <xdr:rowOff>76200</xdr:rowOff>
        </xdr:from>
        <xdr:to>
          <xdr:col>11</xdr:col>
          <xdr:colOff>247650</xdr:colOff>
          <xdr:row>6</xdr:row>
          <xdr:rowOff>0</xdr:rowOff>
        </xdr:to>
        <xdr:sp macro="" textlink="">
          <xdr:nvSpPr>
            <xdr:cNvPr id="124151" name="Drop Down 247" hidden="1">
              <a:extLst>
                <a:ext uri="{63B3BB69-23CF-44E3-9099-C40C66FF867C}">
                  <a14:compatExt spid="_x0000_s124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381000</xdr:colOff>
      <xdr:row>28</xdr:row>
      <xdr:rowOff>28575</xdr:rowOff>
    </xdr:from>
    <xdr:to>
      <xdr:col>12</xdr:col>
      <xdr:colOff>257175</xdr:colOff>
      <xdr:row>45</xdr:row>
      <xdr:rowOff>85725</xdr:rowOff>
    </xdr:to>
    <xdr:pic>
      <xdr:nvPicPr>
        <xdr:cNvPr id="265069"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4562475"/>
          <a:ext cx="35337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4"/>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5"/>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6"/>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7"/>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8"/>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256816"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rights/Desktop/2014-15/Adjustment%20budget%202014-2015/MP315_Adjustment%20Budget_2014-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wrights/Desktop/Budget%202015-2016/Users/mashaob/Documents/Trial%20Balance%20jul12-jun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rights/Desktop/Budget%202015-2016/Users/mashaob/Desktop/Budget%2014-15/Workings%20for%20Budget-19-05-14.xlsx%20REVIS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wrights/Desktop/Budget%202015-2016/Copy%20of%20Copy%20of%20APP%20DRAFT%20BUDGET%20sal%20%20allow%202014%20-%202015%20xls%202%20(Recover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shaob/AppData/Local/Microsoft/Windows/Temporary%20Internet%20Files/Content.Outlook/D5V5C5U7/Budget%20Workings-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0">
          <cell r="I60">
            <v>-164354.01999999999</v>
          </cell>
        </row>
        <row r="61">
          <cell r="I61">
            <v>3091.76</v>
          </cell>
        </row>
        <row r="62">
          <cell r="I62">
            <v>-374899.67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GL"/>
      <sheetName val="CAP EXP"/>
    </sheetNames>
    <sheetDataSet>
      <sheetData sheetId="0" refreshError="1">
        <row r="178">
          <cell r="E178">
            <v>4891461.7699999996</v>
          </cell>
        </row>
        <row r="179">
          <cell r="E179">
            <v>250000</v>
          </cell>
        </row>
        <row r="180">
          <cell r="E180">
            <v>283837.01</v>
          </cell>
        </row>
        <row r="181">
          <cell r="E181">
            <v>1999.2</v>
          </cell>
        </row>
        <row r="182">
          <cell r="E182">
            <v>279746.49</v>
          </cell>
        </row>
        <row r="183">
          <cell r="E183">
            <v>987066.91</v>
          </cell>
        </row>
        <row r="184">
          <cell r="E184">
            <v>323355</v>
          </cell>
        </row>
        <row r="185">
          <cell r="E185">
            <v>19923</v>
          </cell>
        </row>
        <row r="186">
          <cell r="E186">
            <v>39068.839999999997</v>
          </cell>
        </row>
        <row r="188">
          <cell r="E188">
            <v>46623.15</v>
          </cell>
        </row>
        <row r="189">
          <cell r="E189">
            <v>364000</v>
          </cell>
        </row>
        <row r="190">
          <cell r="E190">
            <v>29250</v>
          </cell>
        </row>
        <row r="191">
          <cell r="E191">
            <v>60820.82</v>
          </cell>
        </row>
        <row r="199">
          <cell r="E199">
            <v>250000</v>
          </cell>
        </row>
        <row r="204">
          <cell r="E204">
            <v>111036.87</v>
          </cell>
        </row>
        <row r="211">
          <cell r="E211">
            <v>657.89</v>
          </cell>
        </row>
        <row r="212">
          <cell r="E212">
            <v>230636.54</v>
          </cell>
        </row>
        <row r="213">
          <cell r="E213">
            <v>164488.26999999999</v>
          </cell>
        </row>
        <row r="214">
          <cell r="E214">
            <v>2208.36</v>
          </cell>
        </row>
        <row r="215">
          <cell r="E215">
            <v>1368668.95</v>
          </cell>
        </row>
        <row r="216">
          <cell r="E216">
            <v>952428.58</v>
          </cell>
        </row>
        <row r="217">
          <cell r="E217">
            <v>143694.51</v>
          </cell>
        </row>
        <row r="218">
          <cell r="E218">
            <v>75595.850000000006</v>
          </cell>
        </row>
        <row r="219">
          <cell r="E219">
            <v>79119.509999999995</v>
          </cell>
        </row>
        <row r="220">
          <cell r="E220">
            <v>117875</v>
          </cell>
        </row>
        <row r="222">
          <cell r="E222">
            <v>660451.28</v>
          </cell>
        </row>
        <row r="223">
          <cell r="E223">
            <v>100000</v>
          </cell>
        </row>
        <row r="224">
          <cell r="E224">
            <v>230000</v>
          </cell>
        </row>
        <row r="225">
          <cell r="E225">
            <v>50000</v>
          </cell>
        </row>
        <row r="226">
          <cell r="E226">
            <v>150000</v>
          </cell>
        </row>
        <row r="227">
          <cell r="E227">
            <v>1346801</v>
          </cell>
        </row>
        <row r="228">
          <cell r="E228">
            <v>4372936.3899999997</v>
          </cell>
        </row>
        <row r="463">
          <cell r="E463">
            <v>645857.4</v>
          </cell>
        </row>
        <row r="464">
          <cell r="E464">
            <v>16978.939999999999</v>
          </cell>
        </row>
        <row r="465">
          <cell r="E465">
            <v>5701.75</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OPERATIONAL BUDGET"/>
      <sheetName val=" CAPITAL BUDGET"/>
      <sheetName val="OTHER REVENUE"/>
      <sheetName val="EMPLOYEE COSTS"/>
    </sheetNames>
    <sheetDataSet>
      <sheetData sheetId="0" refreshError="1"/>
      <sheetData sheetId="1" refreshError="1">
        <row r="408">
          <cell r="I408">
            <v>0</v>
          </cell>
        </row>
      </sheetData>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MENT BUDGET"/>
      <sheetName val="DRAFT BUDGET ANNEXURE A&amp;B"/>
      <sheetName val="Sheet5"/>
      <sheetName val="CAPITAL EXPE ANNEXURE C"/>
      <sheetName val="TARIFFS"/>
      <sheetName val="SUMMARY"/>
      <sheetName val="Sheet2"/>
      <sheetName val="CASH FLOW"/>
      <sheetName val="Sheet1"/>
      <sheetName val="SDS BUDGET 2015-2016"/>
      <sheetName val="ACCRUALS"/>
      <sheetName val="Employee Costs"/>
      <sheetName val="Employee and Council Salary Sum"/>
      <sheetName val="Cashflow Analysis"/>
      <sheetName val="Sheet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7">
          <cell r="E17">
            <v>4157767</v>
          </cell>
        </row>
        <row r="19">
          <cell r="E19">
            <v>138659</v>
          </cell>
        </row>
        <row r="22">
          <cell r="E22">
            <v>480000</v>
          </cell>
        </row>
        <row r="25">
          <cell r="E25">
            <v>68619</v>
          </cell>
        </row>
      </sheetData>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efreshError="1"/>
      <sheetData sheetId="1" refreshError="1"/>
      <sheetData sheetId="2" refreshError="1">
        <row r="194">
          <cell r="I194">
            <v>52400</v>
          </cell>
        </row>
        <row r="202">
          <cell r="I202">
            <v>500000</v>
          </cell>
        </row>
        <row r="203">
          <cell r="I203">
            <v>100000</v>
          </cell>
        </row>
        <row r="204">
          <cell r="I204">
            <v>15000000</v>
          </cell>
        </row>
        <row r="206">
          <cell r="I206">
            <v>150000</v>
          </cell>
        </row>
        <row r="207">
          <cell r="I207">
            <v>300000</v>
          </cell>
        </row>
        <row r="208">
          <cell r="I208">
            <v>100000</v>
          </cell>
        </row>
        <row r="209">
          <cell r="I209">
            <v>250000</v>
          </cell>
        </row>
        <row r="210">
          <cell r="I210">
            <v>600000</v>
          </cell>
        </row>
        <row r="211">
          <cell r="I211">
            <v>90000</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control" Target="../activeX/activeX5.xml"/><Relationship Id="rId18" Type="http://schemas.openxmlformats.org/officeDocument/2006/relationships/image" Target="../media/image15.emf"/><Relationship Id="rId3" Type="http://schemas.openxmlformats.org/officeDocument/2006/relationships/drawing" Target="../drawings/drawing2.xml"/><Relationship Id="rId21" Type="http://schemas.openxmlformats.org/officeDocument/2006/relationships/ctrlProp" Target="../ctrlProps/ctrlProp3.xml"/><Relationship Id="rId7" Type="http://schemas.openxmlformats.org/officeDocument/2006/relationships/control" Target="../activeX/activeX2.xml"/><Relationship Id="rId12" Type="http://schemas.openxmlformats.org/officeDocument/2006/relationships/image" Target="../media/image12.emf"/><Relationship Id="rId17" Type="http://schemas.openxmlformats.org/officeDocument/2006/relationships/control" Target="../activeX/activeX7.xml"/><Relationship Id="rId2" Type="http://schemas.openxmlformats.org/officeDocument/2006/relationships/printerSettings" Target="../printerSettings/printerSettings4.bin"/><Relationship Id="rId16" Type="http://schemas.openxmlformats.org/officeDocument/2006/relationships/image" Target="../media/image14.emf"/><Relationship Id="rId20" Type="http://schemas.openxmlformats.org/officeDocument/2006/relationships/ctrlProp" Target="../ctrlProps/ctrlProp2.xml"/><Relationship Id="rId1" Type="http://schemas.openxmlformats.org/officeDocument/2006/relationships/printerSettings" Target="../printerSettings/printerSettings3.bin"/><Relationship Id="rId6" Type="http://schemas.openxmlformats.org/officeDocument/2006/relationships/image" Target="../media/image9.emf"/><Relationship Id="rId11" Type="http://schemas.openxmlformats.org/officeDocument/2006/relationships/control" Target="../activeX/activeX4.xml"/><Relationship Id="rId5" Type="http://schemas.openxmlformats.org/officeDocument/2006/relationships/control" Target="../activeX/activeX1.xml"/><Relationship Id="rId15" Type="http://schemas.openxmlformats.org/officeDocument/2006/relationships/control" Target="../activeX/activeX6.xml"/><Relationship Id="rId10" Type="http://schemas.openxmlformats.org/officeDocument/2006/relationships/image" Target="../media/image11.emf"/><Relationship Id="rId19"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13.emf"/><Relationship Id="rId22" Type="http://schemas.openxmlformats.org/officeDocument/2006/relationships/ctrlProp" Target="../ctrlProps/ctrlProp4.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mailto:MahlanguN@thembisilehanilm.gov.za" TargetMode="External"/><Relationship Id="rId7" Type="http://schemas.openxmlformats.org/officeDocument/2006/relationships/hyperlink" Target="mailto:MahlanguP@thembisilehanilm.gov.za" TargetMode="External"/><Relationship Id="rId2" Type="http://schemas.openxmlformats.org/officeDocument/2006/relationships/hyperlink" Target="http://www.thembisilehanilm.gov.za/" TargetMode="External"/><Relationship Id="rId1" Type="http://schemas.openxmlformats.org/officeDocument/2006/relationships/printerSettings" Target="../printerSettings/printerSettings11.bin"/><Relationship Id="rId6" Type="http://schemas.openxmlformats.org/officeDocument/2006/relationships/hyperlink" Target="mailto:MasilelaG@thembisilehanilm.gov.za" TargetMode="External"/><Relationship Id="rId5" Type="http://schemas.openxmlformats.org/officeDocument/2006/relationships/hyperlink" Target="mailto:NkosiO@thembisilehanilm.gov.za" TargetMode="External"/><Relationship Id="rId4" Type="http://schemas.openxmlformats.org/officeDocument/2006/relationships/hyperlink" Target="mailto:MthombeniH@thembisilehanilm.gov.za"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6"/>
  </sheetPr>
  <dimension ref="A1"/>
  <sheetViews>
    <sheetView showGridLines="0" zoomScaleNormal="100" workbookViewId="0"/>
  </sheetViews>
  <sheetFormatPr defaultColWidth="8" defaultRowHeight="12.75" x14ac:dyDescent="0.2"/>
  <cols>
    <col min="1" max="16384" width="8" style="1383"/>
  </cols>
  <sheetData>
    <row r="1" spans="1:1" x14ac:dyDescent="0.2">
      <c r="A1" s="2163"/>
    </row>
  </sheetData>
  <sheetProtection sheet="1" objects="1" scenarios="1"/>
  <customSheetViews>
    <customSheetView guid="{F50C5479-5CC4-4FD7-8319-543D29E829F0}" showGridLines="0" topLeftCell="A22">
      <pageMargins left="0.75" right="0.75" top="1" bottom="1" header="0.5" footer="0.5"/>
      <pageSetup orientation="portrait" horizontalDpi="4294967293" verticalDpi="200" r:id="rId1"/>
      <headerFooter alignWithMargins="0"/>
    </customSheetView>
  </customSheetViews>
  <phoneticPr fontId="25" type="noConversion"/>
  <pageMargins left="0.74803149606299213" right="0.74803149606299213" top="0.98425196850393704" bottom="0.98425196850393704" header="0.51181102362204722" footer="0.51181102362204722"/>
  <pageSetup scale="75" orientation="portrait" horizontalDpi="4294967293" verticalDpi="2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pageSetUpPr fitToPage="1"/>
  </sheetPr>
  <dimension ref="A1:X77"/>
  <sheetViews>
    <sheetView showGridLines="0" topLeftCell="A14" zoomScaleNormal="100" workbookViewId="0">
      <selection activeCell="K45" sqref="K45"/>
    </sheetView>
  </sheetViews>
  <sheetFormatPr defaultRowHeight="12.75" x14ac:dyDescent="0.25"/>
  <cols>
    <col min="1" max="1" width="30.7109375" style="149" customWidth="1"/>
    <col min="2" max="2" width="3" style="1043" customWidth="1"/>
    <col min="3" max="11" width="9.28515625" style="149" customWidth="1"/>
    <col min="12" max="23" width="9.140625" style="149" hidden="1" customWidth="1"/>
    <col min="24" max="16384" width="9.140625" style="149"/>
  </cols>
  <sheetData>
    <row r="1" spans="1:24" s="179" customFormat="1" x14ac:dyDescent="0.2">
      <c r="A1" s="1117" t="str">
        <f>muni&amp;" - "&amp;Approve2</f>
        <v>MP315 Thembisile Hani - Table A3 Budgeted Financial Performance (revenue and expenditure by municipal vote)</v>
      </c>
      <c r="B1" s="1117"/>
      <c r="C1" s="1117"/>
      <c r="D1" s="1117"/>
      <c r="E1" s="1117"/>
      <c r="F1" s="1117"/>
      <c r="G1" s="1117"/>
      <c r="H1" s="1117"/>
      <c r="I1" s="1117"/>
      <c r="J1" s="1117"/>
      <c r="K1" s="1117"/>
    </row>
    <row r="2" spans="1:24" ht="28.5" customHeight="1" x14ac:dyDescent="0.25">
      <c r="A2" s="1194" t="str">
        <f>Vdesc</f>
        <v>Vote Description</v>
      </c>
      <c r="B2" s="1195" t="str">
        <f>head27</f>
        <v>Ref</v>
      </c>
      <c r="C2" s="1119" t="str">
        <f>head1b</f>
        <v>2011/12</v>
      </c>
      <c r="D2" s="1119" t="str">
        <f>head1A</f>
        <v>2012/13</v>
      </c>
      <c r="E2" s="1120" t="str">
        <f>Head1</f>
        <v>2013/14</v>
      </c>
      <c r="F2" s="2772" t="str">
        <f>Head2</f>
        <v>Current Year 2014/15</v>
      </c>
      <c r="G2" s="2773"/>
      <c r="H2" s="2773"/>
      <c r="I2" s="2774" t="str">
        <f>Head3</f>
        <v>2015/16 Medium Term Revenue &amp; Expenditure Framework</v>
      </c>
      <c r="J2" s="2775"/>
      <c r="K2" s="2776"/>
      <c r="L2" s="2777" t="str">
        <f>Head4</f>
        <v>LTFS</v>
      </c>
      <c r="M2" s="2778"/>
      <c r="N2" s="2778"/>
      <c r="O2" s="2778"/>
      <c r="P2" s="2778"/>
      <c r="Q2" s="2778"/>
      <c r="R2" s="2778"/>
      <c r="S2" s="2778"/>
      <c r="T2" s="2778"/>
      <c r="U2" s="2778"/>
      <c r="V2" s="2778"/>
      <c r="W2" s="2779"/>
    </row>
    <row r="3" spans="1:24" ht="25.5" x14ac:dyDescent="0.25">
      <c r="A3" s="1196" t="s">
        <v>662</v>
      </c>
      <c r="B3" s="1197"/>
      <c r="C3" s="1121" t="str">
        <f>Head5</f>
        <v>Audited Outcome</v>
      </c>
      <c r="D3" s="1121" t="str">
        <f>Head5</f>
        <v>Audited Outcome</v>
      </c>
      <c r="E3" s="1122" t="str">
        <f>Head5</f>
        <v>Audited Outcome</v>
      </c>
      <c r="F3" s="1123" t="str">
        <f>Head6</f>
        <v>Original Budget</v>
      </c>
      <c r="G3" s="1121" t="str">
        <f>Head7</f>
        <v>Adjusted Budget</v>
      </c>
      <c r="H3" s="1122" t="str">
        <f>Head8</f>
        <v>Full Year Forecast</v>
      </c>
      <c r="I3" s="1123" t="str">
        <f>Head9</f>
        <v>Budget Year 2015/16</v>
      </c>
      <c r="J3" s="1121" t="str">
        <f>Head10</f>
        <v>Budget Year +1 2016/17</v>
      </c>
      <c r="K3" s="1122" t="str">
        <f>Head11</f>
        <v>Budget Year +2 2017/18</v>
      </c>
      <c r="L3" s="1543" t="str">
        <f>Head12</f>
        <v>Forecast 2018/19</v>
      </c>
      <c r="M3" s="1544" t="str">
        <f>Head13</f>
        <v>Forecast 2019/20</v>
      </c>
      <c r="N3" s="1544" t="str">
        <f>Head14</f>
        <v>Forecast 2020/21</v>
      </c>
      <c r="O3" s="1544" t="str">
        <f>Head15</f>
        <v>Forecast 2021/22</v>
      </c>
      <c r="P3" s="1544" t="str">
        <f>Head16</f>
        <v>Forecast 2022/23</v>
      </c>
      <c r="Q3" s="1544" t="str">
        <f>Head17</f>
        <v>Forecast 2023/24</v>
      </c>
      <c r="R3" s="1544" t="str">
        <f>Head18</f>
        <v>Forecast 2024/25</v>
      </c>
      <c r="S3" s="1544" t="str">
        <f>Head19</f>
        <v>Forecast 2025/26</v>
      </c>
      <c r="T3" s="1544" t="str">
        <f>Head20</f>
        <v>Forecast 2026/27</v>
      </c>
      <c r="U3" s="1544" t="str">
        <f>Head21</f>
        <v>Forecast 2027/28</v>
      </c>
      <c r="V3" s="1544" t="str">
        <f>Head22</f>
        <v>Forecast 2028/29</v>
      </c>
      <c r="W3" s="1544" t="str">
        <f>Head23</f>
        <v>Forecast 2029/30</v>
      </c>
    </row>
    <row r="4" spans="1:24" ht="11.25" customHeight="1" x14ac:dyDescent="0.25">
      <c r="A4" s="1198" t="s">
        <v>1358</v>
      </c>
      <c r="B4" s="1183">
        <v>1</v>
      </c>
      <c r="C4" s="1199"/>
      <c r="D4" s="1199"/>
      <c r="E4" s="1200"/>
      <c r="F4" s="1201"/>
      <c r="G4" s="1199"/>
      <c r="H4" s="1202"/>
      <c r="I4" s="1203"/>
      <c r="J4" s="1199"/>
      <c r="K4" s="2158"/>
      <c r="L4" s="188"/>
      <c r="M4" s="189"/>
      <c r="N4" s="189"/>
      <c r="O4" s="189"/>
      <c r="P4" s="189"/>
      <c r="Q4" s="189"/>
      <c r="R4" s="189"/>
      <c r="S4" s="189"/>
      <c r="T4" s="189"/>
      <c r="U4" s="189"/>
      <c r="V4" s="189"/>
      <c r="W4" s="189"/>
    </row>
    <row r="5" spans="1:24" ht="11.25" customHeight="1" x14ac:dyDescent="0.25">
      <c r="A5" s="1204" t="str">
        <f>A3A!A5</f>
        <v>Vote 1 - 100 COUNCIL &amp; GENERAL</v>
      </c>
      <c r="B5" s="1183"/>
      <c r="C5" s="1205">
        <f>A3A!C5</f>
        <v>342124000</v>
      </c>
      <c r="D5" s="1205">
        <f>A3A!D5</f>
        <v>49553000</v>
      </c>
      <c r="E5" s="1206">
        <f>A3A!E5</f>
        <v>0</v>
      </c>
      <c r="F5" s="1207">
        <f>A3A!F5</f>
        <v>0</v>
      </c>
      <c r="G5" s="1205">
        <f>A3A!G5</f>
        <v>0</v>
      </c>
      <c r="H5" s="1208">
        <f>A3A!H5</f>
        <v>0</v>
      </c>
      <c r="I5" s="1209">
        <f>A3A!I5</f>
        <v>0</v>
      </c>
      <c r="J5" s="1205">
        <f>A3A!J5</f>
        <v>0</v>
      </c>
      <c r="K5" s="2153">
        <f>A3A!K5</f>
        <v>0</v>
      </c>
      <c r="L5" s="188"/>
      <c r="M5" s="189"/>
      <c r="N5" s="189"/>
      <c r="O5" s="189"/>
      <c r="P5" s="189"/>
      <c r="Q5" s="189"/>
      <c r="R5" s="189"/>
      <c r="S5" s="189"/>
      <c r="T5" s="189"/>
      <c r="U5" s="189"/>
      <c r="V5" s="189"/>
      <c r="W5" s="189"/>
    </row>
    <row r="6" spans="1:24" ht="11.25" customHeight="1" x14ac:dyDescent="0.25">
      <c r="A6" s="1204" t="str">
        <f>A3A!A16</f>
        <v>Vote 2 - 102 MUNICIPAL MANAGER</v>
      </c>
      <c r="B6" s="1183"/>
      <c r="C6" s="1205">
        <f>A3A!C16</f>
        <v>0</v>
      </c>
      <c r="D6" s="1205">
        <f>A3A!D16</f>
        <v>0</v>
      </c>
      <c r="E6" s="1206">
        <f>A3A!E16</f>
        <v>0</v>
      </c>
      <c r="F6" s="1207">
        <f>A3A!F16</f>
        <v>0</v>
      </c>
      <c r="G6" s="1205">
        <f>A3A!G16</f>
        <v>0</v>
      </c>
      <c r="H6" s="1208">
        <f>A3A!H16</f>
        <v>0</v>
      </c>
      <c r="I6" s="1209">
        <f>A3A!I16</f>
        <v>0</v>
      </c>
      <c r="J6" s="1205">
        <f>A3A!J16</f>
        <v>0</v>
      </c>
      <c r="K6" s="2153">
        <f>A3A!K16</f>
        <v>0</v>
      </c>
      <c r="L6" s="188"/>
      <c r="M6" s="189"/>
      <c r="N6" s="189"/>
      <c r="O6" s="189"/>
      <c r="P6" s="189"/>
      <c r="Q6" s="189"/>
      <c r="R6" s="189"/>
      <c r="S6" s="189"/>
      <c r="T6" s="189"/>
      <c r="U6" s="189"/>
      <c r="V6" s="189"/>
      <c r="W6" s="189"/>
    </row>
    <row r="7" spans="1:24" ht="11.25" customHeight="1" x14ac:dyDescent="0.25">
      <c r="A7" s="1204" t="str">
        <f>A3A!A27</f>
        <v>Vote 3 - 103 PLANNING and DEVELOPMENT</v>
      </c>
      <c r="B7" s="1183"/>
      <c r="C7" s="1205">
        <f>A3A!C27</f>
        <v>0</v>
      </c>
      <c r="D7" s="1205">
        <f>A3A!D27</f>
        <v>0</v>
      </c>
      <c r="E7" s="1206">
        <f>A3A!E27</f>
        <v>0</v>
      </c>
      <c r="F7" s="1207">
        <f>A3A!F27</f>
        <v>0</v>
      </c>
      <c r="G7" s="1205">
        <f>A3A!G27</f>
        <v>0</v>
      </c>
      <c r="H7" s="1208">
        <f>A3A!H27</f>
        <v>0</v>
      </c>
      <c r="I7" s="1209">
        <f>A3A!I27</f>
        <v>0</v>
      </c>
      <c r="J7" s="1205">
        <f>A3A!J27</f>
        <v>0</v>
      </c>
      <c r="K7" s="2153">
        <f>A3A!K27</f>
        <v>0</v>
      </c>
      <c r="L7" s="188"/>
      <c r="M7" s="189"/>
      <c r="N7" s="189"/>
      <c r="O7" s="189"/>
      <c r="P7" s="189"/>
      <c r="Q7" s="189"/>
      <c r="R7" s="189"/>
      <c r="S7" s="189"/>
      <c r="T7" s="189"/>
      <c r="U7" s="189"/>
      <c r="V7" s="189"/>
      <c r="W7" s="189"/>
    </row>
    <row r="8" spans="1:24" ht="11.25" customHeight="1" x14ac:dyDescent="0.25">
      <c r="A8" s="1204" t="str">
        <f>A3A!A38</f>
        <v>Vote 4 - 104 FINANCE</v>
      </c>
      <c r="B8" s="1183"/>
      <c r="C8" s="1205">
        <f>A3A!C38</f>
        <v>0</v>
      </c>
      <c r="D8" s="1205">
        <f>A3A!D38</f>
        <v>273663600</v>
      </c>
      <c r="E8" s="1206">
        <f>A3A!E38</f>
        <v>338986598</v>
      </c>
      <c r="F8" s="1207">
        <f>A3A!F38</f>
        <v>290860299.35799998</v>
      </c>
      <c r="G8" s="1205">
        <f>A3A!G38</f>
        <v>308811169.61800003</v>
      </c>
      <c r="H8" s="1208">
        <f>A3A!H38</f>
        <v>308811169.61800003</v>
      </c>
      <c r="I8" s="1209">
        <f>A3A!I38</f>
        <v>381745233.52999997</v>
      </c>
      <c r="J8" s="1205">
        <f>A3A!J38</f>
        <v>404268202.30826998</v>
      </c>
      <c r="K8" s="2153">
        <f>A3A!K38</f>
        <v>426907221.63753319</v>
      </c>
      <c r="L8" s="188"/>
      <c r="M8" s="189"/>
      <c r="N8" s="189"/>
      <c r="O8" s="189"/>
      <c r="P8" s="189"/>
      <c r="Q8" s="189"/>
      <c r="R8" s="189"/>
      <c r="S8" s="189"/>
      <c r="T8" s="189"/>
      <c r="U8" s="189"/>
      <c r="V8" s="189"/>
      <c r="W8" s="189"/>
    </row>
    <row r="9" spans="1:24" ht="11.25" customHeight="1" x14ac:dyDescent="0.25">
      <c r="A9" s="1204" t="str">
        <f>A3A!A60</f>
        <v>Vote 5 - 105 TECHNICAL SERVICES</v>
      </c>
      <c r="B9" s="1183"/>
      <c r="C9" s="1205">
        <f>A3A!C60</f>
        <v>0</v>
      </c>
      <c r="D9" s="1205">
        <f>A3A!D60</f>
        <v>137703821</v>
      </c>
      <c r="E9" s="1206">
        <f>A3A!E60</f>
        <v>88750381.450000003</v>
      </c>
      <c r="F9" s="1207">
        <f>A3A!F60</f>
        <v>116003074.3</v>
      </c>
      <c r="G9" s="1205">
        <f>A3A!G60</f>
        <v>115466912.36999999</v>
      </c>
      <c r="H9" s="1208">
        <f>A3A!H60</f>
        <v>115466912.36999999</v>
      </c>
      <c r="I9" s="1209">
        <f>A3A!I60</f>
        <v>119297042.98</v>
      </c>
      <c r="J9" s="1205">
        <f>A3A!J60</f>
        <v>126335568.51582</v>
      </c>
      <c r="K9" s="2153">
        <f>A3A!K60</f>
        <v>133410360.35270593</v>
      </c>
      <c r="L9" s="188"/>
      <c r="M9" s="189"/>
      <c r="N9" s="189"/>
      <c r="O9" s="189"/>
      <c r="P9" s="189"/>
      <c r="Q9" s="189"/>
      <c r="R9" s="189"/>
      <c r="S9" s="189"/>
      <c r="T9" s="189"/>
      <c r="U9" s="189"/>
      <c r="V9" s="189"/>
      <c r="W9" s="189"/>
    </row>
    <row r="10" spans="1:24" ht="11.25" customHeight="1" x14ac:dyDescent="0.25">
      <c r="A10" s="1204" t="str">
        <f>A3A!A69</f>
        <v>Vote 6 - 500 PMU</v>
      </c>
      <c r="B10" s="1183"/>
      <c r="C10" s="1205">
        <f>A3A!C69</f>
        <v>0</v>
      </c>
      <c r="D10" s="1205">
        <f>A3A!D69</f>
        <v>2863000</v>
      </c>
      <c r="E10" s="1206">
        <f>A3A!E69</f>
        <v>2842000</v>
      </c>
      <c r="F10" s="1207">
        <f>A3A!F69</f>
        <v>0</v>
      </c>
      <c r="G10" s="1205">
        <f>A3A!G69</f>
        <v>0</v>
      </c>
      <c r="H10" s="1208">
        <f>A3A!H69</f>
        <v>0</v>
      </c>
      <c r="I10" s="1209">
        <f>A3A!I69</f>
        <v>0</v>
      </c>
      <c r="J10" s="1205">
        <f>A3A!J69</f>
        <v>0</v>
      </c>
      <c r="K10" s="2153">
        <f>A3A!K69</f>
        <v>0</v>
      </c>
      <c r="L10" s="188"/>
      <c r="M10" s="189"/>
      <c r="N10" s="189"/>
      <c r="O10" s="189"/>
      <c r="P10" s="189"/>
      <c r="Q10" s="189"/>
      <c r="R10" s="189"/>
      <c r="S10" s="189"/>
      <c r="T10" s="189"/>
      <c r="U10" s="189"/>
      <c r="V10" s="189"/>
      <c r="W10" s="189"/>
    </row>
    <row r="11" spans="1:24" ht="11.25" customHeight="1" x14ac:dyDescent="0.25">
      <c r="A11" s="1204" t="str">
        <f>A3A!A74</f>
        <v>Vote 7 - 520 WASTE MANAGEMENT</v>
      </c>
      <c r="B11" s="1183"/>
      <c r="C11" s="1205">
        <f>A3A!C74</f>
        <v>3971000</v>
      </c>
      <c r="D11" s="1205">
        <f>A3A!D74</f>
        <v>4162580</v>
      </c>
      <c r="E11" s="1206">
        <f>A3A!E74</f>
        <v>17926462.57</v>
      </c>
      <c r="F11" s="1207">
        <f>A3A!F74</f>
        <v>6946169.3200000003</v>
      </c>
      <c r="G11" s="1205">
        <f>A3A!G74</f>
        <v>16067657.299999999</v>
      </c>
      <c r="H11" s="1208">
        <f>A3A!H74</f>
        <v>16067657.299999999</v>
      </c>
      <c r="I11" s="1209">
        <f>A3A!I74</f>
        <v>18841644.969999999</v>
      </c>
      <c r="J11" s="1205">
        <f>A3A!J74</f>
        <v>19953302.023230001</v>
      </c>
      <c r="K11" s="2153">
        <f>A3A!K74</f>
        <v>21070686.936530884</v>
      </c>
      <c r="L11" s="188"/>
      <c r="M11" s="189"/>
      <c r="N11" s="189"/>
      <c r="O11" s="189"/>
      <c r="P11" s="189"/>
      <c r="Q11" s="189"/>
      <c r="R11" s="189"/>
      <c r="S11" s="189"/>
      <c r="T11" s="189"/>
      <c r="U11" s="189"/>
      <c r="V11" s="189"/>
      <c r="W11" s="189"/>
    </row>
    <row r="12" spans="1:24" ht="11.25" customHeight="1" x14ac:dyDescent="0.25">
      <c r="A12" s="1204" t="str">
        <f>A3A!A81</f>
        <v>Vote 8 - 530 ELECTRICITY SERVICES</v>
      </c>
      <c r="B12" s="1183"/>
      <c r="C12" s="1205">
        <f>A3A!C81</f>
        <v>0</v>
      </c>
      <c r="D12" s="1205">
        <f>A3A!D81</f>
        <v>161456</v>
      </c>
      <c r="E12" s="1206">
        <f>A3A!E81</f>
        <v>2078725</v>
      </c>
      <c r="F12" s="1207">
        <f>A3A!F81</f>
        <v>0</v>
      </c>
      <c r="G12" s="1205">
        <f>A3A!G81</f>
        <v>0</v>
      </c>
      <c r="H12" s="1208">
        <f>A3A!H81</f>
        <v>0</v>
      </c>
      <c r="I12" s="1209">
        <f>A3A!I81</f>
        <v>1100000</v>
      </c>
      <c r="J12" s="1205">
        <f>A3A!J81</f>
        <v>1164900</v>
      </c>
      <c r="K12" s="2153">
        <f>A3A!K81</f>
        <v>1230134.4000000001</v>
      </c>
      <c r="L12" s="188"/>
      <c r="M12" s="189"/>
      <c r="N12" s="189"/>
      <c r="O12" s="189"/>
      <c r="P12" s="189"/>
      <c r="Q12" s="189"/>
      <c r="R12" s="189"/>
      <c r="S12" s="189"/>
      <c r="T12" s="189"/>
      <c r="U12" s="189"/>
      <c r="V12" s="189"/>
      <c r="W12" s="189"/>
    </row>
    <row r="13" spans="1:24" ht="11.25" customHeight="1" x14ac:dyDescent="0.25">
      <c r="A13" s="1204" t="str">
        <f>A3A!A85</f>
        <v>Vote 9 - 540 WATER SERVICES</v>
      </c>
      <c r="B13" s="1183"/>
      <c r="C13" s="1205">
        <f>A3A!C85</f>
        <v>35434743</v>
      </c>
      <c r="D13" s="1205">
        <f>A3A!D85</f>
        <v>38174855</v>
      </c>
      <c r="E13" s="1206">
        <f>A3A!E85</f>
        <v>39751099.770000003</v>
      </c>
      <c r="F13" s="1207">
        <f>A3A!F85</f>
        <v>52283407.110000007</v>
      </c>
      <c r="G13" s="1205">
        <f>A3A!G85</f>
        <v>52323367.400000006</v>
      </c>
      <c r="H13" s="1208">
        <f>A3A!H85</f>
        <v>52323367.400000006</v>
      </c>
      <c r="I13" s="1209">
        <f>A3A!I85</f>
        <v>57089377.469999999</v>
      </c>
      <c r="J13" s="1205">
        <f>A3A!J85</f>
        <v>60457650.740730003</v>
      </c>
      <c r="K13" s="2153">
        <f>A3A!K85</f>
        <v>63843279.182210885</v>
      </c>
      <c r="L13" s="188"/>
      <c r="M13" s="189"/>
      <c r="N13" s="189"/>
      <c r="O13" s="189"/>
      <c r="P13" s="189"/>
      <c r="Q13" s="189"/>
      <c r="R13" s="189"/>
      <c r="S13" s="189"/>
      <c r="T13" s="189"/>
      <c r="U13" s="189"/>
      <c r="V13" s="189"/>
      <c r="W13" s="189"/>
      <c r="X13" s="369"/>
    </row>
    <row r="14" spans="1:24" ht="11.25" customHeight="1" x14ac:dyDescent="0.25">
      <c r="A14" s="1204" t="str">
        <f>A3A!A100</f>
        <v>Vote 10 - 550 ROADS &amp; STORMWATER</v>
      </c>
      <c r="B14" s="1183"/>
      <c r="C14" s="1205">
        <f>A3A!C100</f>
        <v>0</v>
      </c>
      <c r="D14" s="1205">
        <f>A3A!D100</f>
        <v>0</v>
      </c>
      <c r="E14" s="1206">
        <f>A3A!E100</f>
        <v>0</v>
      </c>
      <c r="F14" s="1207">
        <f>A3A!F100</f>
        <v>0</v>
      </c>
      <c r="G14" s="1205">
        <f>A3A!G100</f>
        <v>0</v>
      </c>
      <c r="H14" s="1208">
        <f>A3A!H100</f>
        <v>0</v>
      </c>
      <c r="I14" s="1209">
        <f>A3A!I100</f>
        <v>0</v>
      </c>
      <c r="J14" s="2156">
        <f>A3A!J100</f>
        <v>0</v>
      </c>
      <c r="K14" s="2153">
        <f>A3A!K100</f>
        <v>0</v>
      </c>
      <c r="L14" s="188"/>
      <c r="M14" s="189"/>
      <c r="N14" s="189"/>
      <c r="O14" s="189"/>
      <c r="P14" s="189"/>
      <c r="Q14" s="189"/>
      <c r="R14" s="189"/>
      <c r="S14" s="189"/>
      <c r="T14" s="189"/>
      <c r="U14" s="189"/>
      <c r="V14" s="189"/>
      <c r="W14" s="189"/>
      <c r="X14" s="369"/>
    </row>
    <row r="15" spans="1:24" ht="11.25" customHeight="1" x14ac:dyDescent="0.25">
      <c r="A15" s="1204" t="str">
        <f>A3A!A104</f>
        <v>Vote 11 - 560 SANITATION SERVICES</v>
      </c>
      <c r="B15" s="1183"/>
      <c r="C15" s="192">
        <f>A3A!C104</f>
        <v>0</v>
      </c>
      <c r="D15" s="192">
        <f>A3A!D104</f>
        <v>0</v>
      </c>
      <c r="E15" s="191">
        <f>A3A!E104</f>
        <v>0</v>
      </c>
      <c r="F15" s="194">
        <f>A3A!F104</f>
        <v>0</v>
      </c>
      <c r="G15" s="192">
        <f>A3A!G104</f>
        <v>0</v>
      </c>
      <c r="H15" s="193">
        <f>A3A!H104</f>
        <v>0</v>
      </c>
      <c r="I15" s="1268">
        <f>A3A!I104</f>
        <v>2044223.5800000003</v>
      </c>
      <c r="J15" s="191">
        <f>A3A!J104</f>
        <v>2164832.77122</v>
      </c>
      <c r="K15" s="1269">
        <f>A3A!K104</f>
        <v>2286063.4064083202</v>
      </c>
      <c r="L15" s="193">
        <f>A5A!L115</f>
        <v>0</v>
      </c>
      <c r="M15" s="189"/>
      <c r="N15" s="189"/>
      <c r="O15" s="189"/>
      <c r="P15" s="189"/>
      <c r="Q15" s="189"/>
      <c r="R15" s="189"/>
      <c r="S15" s="189"/>
      <c r="T15" s="189"/>
      <c r="U15" s="189"/>
      <c r="V15" s="189"/>
      <c r="W15" s="189"/>
      <c r="X15" s="369"/>
    </row>
    <row r="16" spans="1:24" ht="11.25" customHeight="1" x14ac:dyDescent="0.25">
      <c r="A16" s="1204" t="str">
        <f>A3A!A115</f>
        <v>Vote 12 - 106 CORPORATE SERVICES</v>
      </c>
      <c r="B16" s="1183"/>
      <c r="C16" s="192">
        <f>A3A!C115</f>
        <v>0</v>
      </c>
      <c r="D16" s="192">
        <f>A3A!D115</f>
        <v>0</v>
      </c>
      <c r="E16" s="191">
        <f>A3A!E115</f>
        <v>0</v>
      </c>
      <c r="F16" s="194">
        <f>A3A!F115</f>
        <v>0</v>
      </c>
      <c r="G16" s="192">
        <f>A3A!G115</f>
        <v>0</v>
      </c>
      <c r="H16" s="193">
        <f>A3A!H115</f>
        <v>0</v>
      </c>
      <c r="I16" s="1268">
        <f>A3A!I115</f>
        <v>0</v>
      </c>
      <c r="J16" s="191">
        <f>A3A!J115</f>
        <v>0</v>
      </c>
      <c r="K16" s="1269">
        <f>A3A!K115</f>
        <v>0</v>
      </c>
      <c r="L16" s="193">
        <f>A5A!L126</f>
        <v>0</v>
      </c>
      <c r="M16" s="189"/>
      <c r="N16" s="189"/>
      <c r="O16" s="189"/>
      <c r="P16" s="189"/>
      <c r="Q16" s="189"/>
      <c r="R16" s="189"/>
      <c r="S16" s="189"/>
      <c r="T16" s="189"/>
      <c r="U16" s="189"/>
      <c r="V16" s="189"/>
      <c r="W16" s="189"/>
      <c r="X16" s="369"/>
    </row>
    <row r="17" spans="1:24" ht="11.25" customHeight="1" x14ac:dyDescent="0.25">
      <c r="A17" s="1204" t="str">
        <f>A3A!A120</f>
        <v>Vote 13 - 107 COMMUNITY SERVICES</v>
      </c>
      <c r="B17" s="1183"/>
      <c r="C17" s="192">
        <f>A3A!C120</f>
        <v>0</v>
      </c>
      <c r="D17" s="192">
        <f>A3A!D120</f>
        <v>2114091</v>
      </c>
      <c r="E17" s="191">
        <f>A3A!E120</f>
        <v>4240544.3900000006</v>
      </c>
      <c r="F17" s="194">
        <f>A3A!F120</f>
        <v>1290129.01</v>
      </c>
      <c r="G17" s="192">
        <f>A3A!G120</f>
        <v>2061606</v>
      </c>
      <c r="H17" s="193">
        <f>A3A!H120</f>
        <v>2061606</v>
      </c>
      <c r="I17" s="1268">
        <f>A3A!I120</f>
        <v>21215197.860000003</v>
      </c>
      <c r="J17" s="191">
        <f>A3A!J120</f>
        <v>22466894.533739995</v>
      </c>
      <c r="K17" s="1269">
        <f>A3A!K120</f>
        <v>23725040.627629437</v>
      </c>
      <c r="L17" s="193">
        <f>A5A!L137</f>
        <v>0</v>
      </c>
      <c r="M17" s="189"/>
      <c r="N17" s="189"/>
      <c r="O17" s="189"/>
      <c r="P17" s="189"/>
      <c r="Q17" s="189"/>
      <c r="R17" s="189"/>
      <c r="S17" s="189"/>
      <c r="T17" s="189"/>
      <c r="U17" s="189"/>
      <c r="V17" s="189"/>
      <c r="W17" s="189"/>
      <c r="X17" s="369"/>
    </row>
    <row r="18" spans="1:24" ht="11.25" customHeight="1" x14ac:dyDescent="0.25">
      <c r="A18" s="1204" t="str">
        <f>A3A!A134</f>
        <v>Vote 14 - 108 PUBLIC SAFETY &amp; ROADS</v>
      </c>
      <c r="B18" s="1183"/>
      <c r="C18" s="192">
        <f>A3A!C134</f>
        <v>0</v>
      </c>
      <c r="D18" s="192">
        <f>A3A!D134</f>
        <v>2283713</v>
      </c>
      <c r="E18" s="191">
        <f>A3A!E134</f>
        <v>7151770.6500000004</v>
      </c>
      <c r="F18" s="194">
        <f>A3A!F134</f>
        <v>6276926.6900000004</v>
      </c>
      <c r="G18" s="192">
        <f>A3A!G134</f>
        <v>6738901.5999999996</v>
      </c>
      <c r="H18" s="193">
        <f>A3A!H134</f>
        <v>6738901.5999999996</v>
      </c>
      <c r="I18" s="1268">
        <f>A3A!I134</f>
        <v>7636400</v>
      </c>
      <c r="J18" s="191">
        <f>A3A!J134</f>
        <v>8086947.5999999996</v>
      </c>
      <c r="K18" s="1269">
        <f>A3A!K134</f>
        <v>8539816.6655999999</v>
      </c>
      <c r="L18" s="193">
        <f>A5A!L148</f>
        <v>0</v>
      </c>
      <c r="M18" s="189"/>
      <c r="N18" s="189"/>
      <c r="O18" s="189"/>
      <c r="P18" s="189"/>
      <c r="Q18" s="189"/>
      <c r="R18" s="189"/>
      <c r="S18" s="189"/>
      <c r="T18" s="189"/>
      <c r="U18" s="189"/>
      <c r="V18" s="189"/>
      <c r="W18" s="189"/>
      <c r="X18" s="369"/>
    </row>
    <row r="19" spans="1:24" ht="11.25" customHeight="1" x14ac:dyDescent="0.25">
      <c r="A19" s="1204" t="str">
        <f>A3A!A143</f>
        <v>Vote 15 - 300 SPORTS,RECREATION ARTS,CULTURE AND PROPERTY SERVICES</v>
      </c>
      <c r="B19" s="1183"/>
      <c r="C19" s="192">
        <f>A3A!C143</f>
        <v>0</v>
      </c>
      <c r="D19" s="192">
        <f>A3A!D143</f>
        <v>121420</v>
      </c>
      <c r="E19" s="191">
        <f>A3A!E143</f>
        <v>97144.639999999999</v>
      </c>
      <c r="F19" s="194">
        <f>A3A!F143</f>
        <v>100117.20000000001</v>
      </c>
      <c r="G19" s="192">
        <f>A3A!G143</f>
        <v>101093.3</v>
      </c>
      <c r="H19" s="193">
        <f>A3A!H143</f>
        <v>101093.3</v>
      </c>
      <c r="I19" s="2157">
        <f>A3A!I143</f>
        <v>106956.4</v>
      </c>
      <c r="J19" s="191">
        <f>A3A!J143</f>
        <v>113266.82759999999</v>
      </c>
      <c r="K19" s="1269">
        <f>A3A!K143</f>
        <v>119609.76994559998</v>
      </c>
      <c r="L19" s="193">
        <f>A5A!L159</f>
        <v>0</v>
      </c>
      <c r="M19" s="189"/>
      <c r="N19" s="189"/>
      <c r="O19" s="189"/>
      <c r="P19" s="189"/>
      <c r="Q19" s="189"/>
      <c r="R19" s="189"/>
      <c r="S19" s="189"/>
      <c r="T19" s="189"/>
      <c r="U19" s="189"/>
      <c r="V19" s="189"/>
      <c r="W19" s="189"/>
      <c r="X19" s="369"/>
    </row>
    <row r="20" spans="1:24" ht="11.25" customHeight="1" x14ac:dyDescent="0.25">
      <c r="A20" s="1363" t="s">
        <v>180</v>
      </c>
      <c r="B20" s="1362">
        <v>2</v>
      </c>
      <c r="C20" s="1364">
        <f>SUM(C5:C19)</f>
        <v>381529743</v>
      </c>
      <c r="D20" s="1364">
        <f t="shared" ref="D20:K20" si="0">SUM(D5:D19)</f>
        <v>510801536</v>
      </c>
      <c r="E20" s="1365">
        <f t="shared" si="0"/>
        <v>501824726.46999991</v>
      </c>
      <c r="F20" s="1366">
        <f t="shared" si="0"/>
        <v>473760122.98799998</v>
      </c>
      <c r="G20" s="1364">
        <f t="shared" si="0"/>
        <v>501570707.58800012</v>
      </c>
      <c r="H20" s="1367">
        <f t="shared" si="0"/>
        <v>501570707.58800012</v>
      </c>
      <c r="I20" s="1368">
        <f t="shared" si="0"/>
        <v>609076076.79000008</v>
      </c>
      <c r="J20" s="1364">
        <f t="shared" si="0"/>
        <v>645011565.32061005</v>
      </c>
      <c r="K20" s="2159">
        <f t="shared" si="0"/>
        <v>681132212.97856414</v>
      </c>
      <c r="L20" s="199"/>
      <c r="M20" s="200"/>
      <c r="N20" s="200"/>
      <c r="O20" s="200"/>
      <c r="P20" s="200"/>
      <c r="Q20" s="200"/>
      <c r="R20" s="200"/>
      <c r="S20" s="200"/>
      <c r="T20" s="200"/>
      <c r="U20" s="200"/>
      <c r="V20" s="200"/>
      <c r="W20" s="200"/>
      <c r="X20" s="369"/>
    </row>
    <row r="21" spans="1:24" ht="5.0999999999999996" customHeight="1" x14ac:dyDescent="0.25">
      <c r="A21" s="1216"/>
      <c r="B21" s="1183"/>
      <c r="C21" s="1217"/>
      <c r="D21" s="1217"/>
      <c r="E21" s="1218"/>
      <c r="F21" s="1219"/>
      <c r="G21" s="1217"/>
      <c r="H21" s="1220"/>
      <c r="I21" s="1221"/>
      <c r="J21" s="1217"/>
      <c r="K21" s="2160"/>
      <c r="L21" s="195"/>
      <c r="M21" s="196"/>
      <c r="N21" s="196"/>
      <c r="O21" s="196"/>
      <c r="P21" s="196"/>
      <c r="Q21" s="196"/>
      <c r="R21" s="196"/>
      <c r="S21" s="196"/>
      <c r="T21" s="196"/>
      <c r="U21" s="196"/>
      <c r="V21" s="196"/>
      <c r="W21" s="196"/>
      <c r="X21" s="369"/>
    </row>
    <row r="22" spans="1:24" ht="11.25" customHeight="1" x14ac:dyDescent="0.25">
      <c r="A22" s="1198" t="s">
        <v>943</v>
      </c>
      <c r="B22" s="1183">
        <v>1</v>
      </c>
      <c r="C22" s="1217"/>
      <c r="D22" s="1217"/>
      <c r="E22" s="1218"/>
      <c r="F22" s="1219"/>
      <c r="G22" s="1217"/>
      <c r="H22" s="1220"/>
      <c r="I22" s="1221"/>
      <c r="J22" s="1217"/>
      <c r="K22" s="2160"/>
      <c r="L22" s="195"/>
      <c r="M22" s="196"/>
      <c r="N22" s="196"/>
      <c r="O22" s="196"/>
      <c r="P22" s="196"/>
      <c r="Q22" s="196"/>
      <c r="R22" s="196"/>
      <c r="S22" s="196"/>
      <c r="T22" s="196"/>
      <c r="U22" s="196"/>
      <c r="V22" s="196"/>
      <c r="W22" s="196"/>
      <c r="X22" s="369"/>
    </row>
    <row r="23" spans="1:24" ht="11.25" customHeight="1" x14ac:dyDescent="0.25">
      <c r="A23" s="1204" t="str">
        <f>A3A!A156</f>
        <v>Vote 1 - 100 COUNCIL &amp; GENERAL</v>
      </c>
      <c r="B23" s="1183"/>
      <c r="C23" s="1205">
        <f>A3A!C156</f>
        <v>257641152</v>
      </c>
      <c r="D23" s="1205">
        <f>A3A!D156</f>
        <v>181960218.54000002</v>
      </c>
      <c r="E23" s="1206">
        <f>A3A!E156</f>
        <v>313465145.79000002</v>
      </c>
      <c r="F23" s="1207">
        <f>A3A!F156</f>
        <v>268197317.12599999</v>
      </c>
      <c r="G23" s="1205">
        <f>A3A!G156</f>
        <v>134376346.43000001</v>
      </c>
      <c r="H23" s="1208">
        <f>A3A!H156</f>
        <v>134376346.43000001</v>
      </c>
      <c r="I23" s="1209">
        <f>A3A!I156</f>
        <v>244171535.51999998</v>
      </c>
      <c r="J23" s="1205">
        <f>A3A!J156</f>
        <v>258577656.11567998</v>
      </c>
      <c r="K23" s="2153">
        <f>A3A!K156</f>
        <v>273058004.85815805</v>
      </c>
      <c r="L23" s="195"/>
      <c r="M23" s="196"/>
      <c r="N23" s="196"/>
      <c r="O23" s="196"/>
      <c r="P23" s="196"/>
      <c r="Q23" s="196"/>
      <c r="R23" s="196"/>
      <c r="S23" s="196"/>
      <c r="T23" s="196"/>
      <c r="U23" s="196"/>
      <c r="V23" s="196"/>
      <c r="W23" s="196"/>
      <c r="X23" s="369"/>
    </row>
    <row r="24" spans="1:24" ht="11.25" customHeight="1" x14ac:dyDescent="0.25">
      <c r="A24" s="1204" t="str">
        <f>A3A!A217</f>
        <v>Vote 2 - 102 MUNICIPAL MANAGER</v>
      </c>
      <c r="B24" s="1183"/>
      <c r="C24" s="1205">
        <f>A3A!C217</f>
        <v>109662733</v>
      </c>
      <c r="D24" s="1205">
        <f>A3A!D217</f>
        <v>11474857.019999998</v>
      </c>
      <c r="E24" s="1206">
        <f>A3A!E217</f>
        <v>9691324</v>
      </c>
      <c r="F24" s="1207">
        <f>A3A!F217</f>
        <v>18781167</v>
      </c>
      <c r="G24" s="1205">
        <f>A3A!G217</f>
        <v>18398318.530000001</v>
      </c>
      <c r="H24" s="1208">
        <f>A3A!H217</f>
        <v>18398318.530000001</v>
      </c>
      <c r="I24" s="1209">
        <f>A3A!I217</f>
        <v>19408982</v>
      </c>
      <c r="J24" s="1205">
        <f>A3A!J217</f>
        <v>20554111.938000001</v>
      </c>
      <c r="K24" s="2153">
        <f>A3A!K217</f>
        <v>21705142.206527997</v>
      </c>
      <c r="L24" s="208"/>
      <c r="M24" s="209"/>
      <c r="N24" s="209"/>
      <c r="O24" s="209"/>
      <c r="P24" s="209"/>
      <c r="Q24" s="209"/>
      <c r="R24" s="209"/>
      <c r="S24" s="209"/>
      <c r="T24" s="209"/>
      <c r="U24" s="209"/>
      <c r="V24" s="209"/>
      <c r="W24" s="209"/>
      <c r="X24" s="369"/>
    </row>
    <row r="25" spans="1:24" ht="11.25" customHeight="1" x14ac:dyDescent="0.25">
      <c r="A25" s="1204" t="str">
        <f>A3A!A252</f>
        <v>Vote 3 - 103 PLANNING and DEVELOPMENT</v>
      </c>
      <c r="B25" s="1183"/>
      <c r="C25" s="1205">
        <f>A3A!C252</f>
        <v>0</v>
      </c>
      <c r="D25" s="1205">
        <f>A3A!D252</f>
        <v>0</v>
      </c>
      <c r="E25" s="1206">
        <f>A3A!E252</f>
        <v>4658562.9400000004</v>
      </c>
      <c r="F25" s="1207">
        <f>A3A!F252</f>
        <v>2363875</v>
      </c>
      <c r="G25" s="1205">
        <f>A3A!G252</f>
        <v>2248988.94</v>
      </c>
      <c r="H25" s="1208">
        <f>A3A!H252</f>
        <v>2248988.94</v>
      </c>
      <c r="I25" s="1209">
        <f>A3A!I252</f>
        <v>2382116</v>
      </c>
      <c r="J25" s="1205">
        <f>A3A!J252</f>
        <v>2522660.8439999996</v>
      </c>
      <c r="K25" s="2153">
        <f>A3A!K252</f>
        <v>2663929.8512639999</v>
      </c>
      <c r="L25" s="208"/>
      <c r="M25" s="209"/>
      <c r="N25" s="209"/>
      <c r="O25" s="209"/>
      <c r="P25" s="209"/>
      <c r="Q25" s="209"/>
      <c r="R25" s="209"/>
      <c r="S25" s="209"/>
      <c r="T25" s="209"/>
      <c r="U25" s="209"/>
      <c r="V25" s="209"/>
      <c r="W25" s="209"/>
      <c r="X25" s="369"/>
    </row>
    <row r="26" spans="1:24" ht="11.25" customHeight="1" x14ac:dyDescent="0.25">
      <c r="A26" s="1204" t="str">
        <f>A3A!A287</f>
        <v>Vote 4 - 104 FINANCE</v>
      </c>
      <c r="B26" s="1183"/>
      <c r="C26" s="1205">
        <f>A3A!C287</f>
        <v>0</v>
      </c>
      <c r="D26" s="1205">
        <f>A3A!D287</f>
        <v>17983751.189999998</v>
      </c>
      <c r="E26" s="1206">
        <f>A3A!E287</f>
        <v>30897526</v>
      </c>
      <c r="F26" s="1207">
        <f>A3A!F287</f>
        <v>19870972</v>
      </c>
      <c r="G26" s="1205">
        <f>A3A!G287</f>
        <v>16071339.51</v>
      </c>
      <c r="H26" s="1208">
        <f>A3A!H287</f>
        <v>16071339.51</v>
      </c>
      <c r="I26" s="1209">
        <f>A3A!I287</f>
        <v>72906148</v>
      </c>
      <c r="J26" s="1205">
        <f>A3A!J287</f>
        <v>77207610.731999993</v>
      </c>
      <c r="K26" s="2153">
        <f>A3A!K287</f>
        <v>81531236.932991996</v>
      </c>
      <c r="L26" s="208"/>
      <c r="M26" s="209"/>
      <c r="N26" s="209"/>
      <c r="O26" s="209"/>
      <c r="P26" s="209"/>
      <c r="Q26" s="209"/>
      <c r="R26" s="209"/>
      <c r="S26" s="209"/>
      <c r="T26" s="209"/>
      <c r="U26" s="209"/>
      <c r="V26" s="209"/>
      <c r="W26" s="209"/>
      <c r="X26" s="369"/>
    </row>
    <row r="27" spans="1:24" ht="11.25" customHeight="1" x14ac:dyDescent="0.25">
      <c r="A27" s="1204" t="str">
        <f>A3A!A349</f>
        <v>Vote 5 - 105 TECHNICAL SERVICES</v>
      </c>
      <c r="B27" s="1183"/>
      <c r="C27" s="1205">
        <f>A3A!C349</f>
        <v>0</v>
      </c>
      <c r="D27" s="1205">
        <f>A3A!D349</f>
        <v>18337466.430000003</v>
      </c>
      <c r="E27" s="1206">
        <f>A3A!E349</f>
        <v>17066069.959999997</v>
      </c>
      <c r="F27" s="1207">
        <f>A3A!F349</f>
        <v>15594052</v>
      </c>
      <c r="G27" s="1205">
        <f>A3A!G349</f>
        <v>15699766.08</v>
      </c>
      <c r="H27" s="1208">
        <f>A3A!H349</f>
        <v>15699766.08</v>
      </c>
      <c r="I27" s="1209">
        <f>A3A!I349</f>
        <v>1895818</v>
      </c>
      <c r="J27" s="1205">
        <f>A3A!J349</f>
        <v>2007671.2619999996</v>
      </c>
      <c r="K27" s="2153">
        <f>A3A!K349</f>
        <v>2120100.8526719999</v>
      </c>
      <c r="L27" s="208"/>
      <c r="M27" s="209"/>
      <c r="N27" s="209"/>
      <c r="O27" s="209"/>
      <c r="P27" s="209"/>
      <c r="Q27" s="209"/>
      <c r="R27" s="209"/>
      <c r="S27" s="209"/>
      <c r="T27" s="209"/>
      <c r="U27" s="209"/>
      <c r="V27" s="209"/>
      <c r="W27" s="209"/>
      <c r="X27" s="369"/>
    </row>
    <row r="28" spans="1:24" ht="11.25" customHeight="1" x14ac:dyDescent="0.25">
      <c r="A28" s="1204" t="str">
        <f>A3A!A375</f>
        <v>Vote 6 - 500 PMU</v>
      </c>
      <c r="B28" s="1183"/>
      <c r="C28" s="1205">
        <f>A3A!C375</f>
        <v>0</v>
      </c>
      <c r="D28" s="1205">
        <f>A3A!D375</f>
        <v>5702747.9500000002</v>
      </c>
      <c r="E28" s="1206">
        <f>A3A!E375</f>
        <v>2879625.04</v>
      </c>
      <c r="F28" s="1207">
        <f>A3A!F375</f>
        <v>4464900</v>
      </c>
      <c r="G28" s="1205">
        <f>A3A!G375</f>
        <v>3944497</v>
      </c>
      <c r="H28" s="1208">
        <f>A3A!H375</f>
        <v>3944497</v>
      </c>
      <c r="I28" s="1209">
        <f>A3A!I375</f>
        <v>3899965</v>
      </c>
      <c r="J28" s="1205">
        <f>A3A!J375</f>
        <v>4130062.9350000005</v>
      </c>
      <c r="K28" s="2153">
        <f>A3A!K375</f>
        <v>4361346.4593599997</v>
      </c>
      <c r="L28" s="208"/>
      <c r="M28" s="209"/>
      <c r="N28" s="209"/>
      <c r="O28" s="209"/>
      <c r="P28" s="209"/>
      <c r="Q28" s="209"/>
      <c r="R28" s="209"/>
      <c r="S28" s="209"/>
      <c r="T28" s="209"/>
      <c r="U28" s="209"/>
      <c r="V28" s="209"/>
      <c r="W28" s="209"/>
      <c r="X28" s="369"/>
    </row>
    <row r="29" spans="1:24" ht="11.25" customHeight="1" x14ac:dyDescent="0.25">
      <c r="A29" s="1204" t="str">
        <f>A3A!A412</f>
        <v>Vote 7 - 520 WASTE MANAGEMENT</v>
      </c>
      <c r="B29" s="1183"/>
      <c r="C29" s="1205">
        <f>A3A!C412</f>
        <v>0</v>
      </c>
      <c r="D29" s="1205">
        <f>A3A!D412</f>
        <v>15473251.039999999</v>
      </c>
      <c r="E29" s="1206">
        <f>A3A!E412</f>
        <v>3042979.45</v>
      </c>
      <c r="F29" s="1207">
        <f>A3A!F412</f>
        <v>3757000</v>
      </c>
      <c r="G29" s="1205">
        <f>A3A!G412</f>
        <v>3757000</v>
      </c>
      <c r="H29" s="1208">
        <f>A3A!H412</f>
        <v>3757000</v>
      </c>
      <c r="I29" s="1209">
        <f>A3A!I412</f>
        <v>8177127</v>
      </c>
      <c r="J29" s="1205">
        <f>A3A!J412</f>
        <v>8659577.4930000007</v>
      </c>
      <c r="K29" s="2153">
        <f>A3A!K412</f>
        <v>9144513.8326080013</v>
      </c>
      <c r="L29" s="208"/>
      <c r="M29" s="209"/>
      <c r="N29" s="209"/>
      <c r="O29" s="209"/>
      <c r="P29" s="209"/>
      <c r="Q29" s="209"/>
      <c r="R29" s="209"/>
      <c r="S29" s="209"/>
      <c r="T29" s="209"/>
      <c r="U29" s="209"/>
      <c r="V29" s="209"/>
      <c r="W29" s="209"/>
      <c r="X29" s="369"/>
    </row>
    <row r="30" spans="1:24" ht="11.25" customHeight="1" x14ac:dyDescent="0.25">
      <c r="A30" s="1204" t="str">
        <f>A3A!A433</f>
        <v>Vote 8 - 530 ELECTRICITY SERVICES</v>
      </c>
      <c r="B30" s="1183"/>
      <c r="C30" s="1205">
        <f>A3A!C433</f>
        <v>0</v>
      </c>
      <c r="D30" s="1205">
        <f>A3A!D433</f>
        <v>2714327.08</v>
      </c>
      <c r="E30" s="1206">
        <f>A3A!E433</f>
        <v>3759337.5500000003</v>
      </c>
      <c r="F30" s="1207">
        <f>A3A!F433</f>
        <v>2973341</v>
      </c>
      <c r="G30" s="1205">
        <f>A3A!G433</f>
        <v>1952697.95</v>
      </c>
      <c r="H30" s="1208">
        <f>A3A!H433</f>
        <v>1952697.95</v>
      </c>
      <c r="I30" s="1209">
        <f>A3A!I433</f>
        <v>2161755</v>
      </c>
      <c r="J30" s="1205">
        <f>A3A!J433</f>
        <v>2289298.5449999999</v>
      </c>
      <c r="K30" s="2153">
        <f>A3A!K433</f>
        <v>2417499.2635199996</v>
      </c>
      <c r="L30" s="208"/>
      <c r="M30" s="209"/>
      <c r="N30" s="209"/>
      <c r="O30" s="209"/>
      <c r="P30" s="209"/>
      <c r="Q30" s="209"/>
      <c r="R30" s="209"/>
      <c r="S30" s="209"/>
      <c r="T30" s="209"/>
      <c r="U30" s="209"/>
      <c r="V30" s="209"/>
      <c r="W30" s="209"/>
      <c r="X30" s="369"/>
    </row>
    <row r="31" spans="1:24" ht="11.25" customHeight="1" x14ac:dyDescent="0.25">
      <c r="A31" s="1204" t="str">
        <f>A3A!A454</f>
        <v>Vote 9 - 540 WATER SERVICES</v>
      </c>
      <c r="B31" s="1183"/>
      <c r="C31" s="1205">
        <f>A3A!C454</f>
        <v>0</v>
      </c>
      <c r="D31" s="1205">
        <f>A3A!D454</f>
        <v>172498202.19999999</v>
      </c>
      <c r="E31" s="1206">
        <f>A3A!E454</f>
        <v>166161214.99999997</v>
      </c>
      <c r="F31" s="1207">
        <f>A3A!F454</f>
        <v>144290029.648256</v>
      </c>
      <c r="G31" s="1205">
        <f>A3A!G454</f>
        <v>101786319.78825602</v>
      </c>
      <c r="H31" s="1208">
        <f>A3A!H454</f>
        <v>101786319.78825602</v>
      </c>
      <c r="I31" s="1209">
        <f>A3A!I454</f>
        <v>193830062</v>
      </c>
      <c r="J31" s="1205">
        <f>A3A!J454</f>
        <v>205266035.65799999</v>
      </c>
      <c r="K31" s="2153">
        <f>A3A!K454</f>
        <v>216760933.65484798</v>
      </c>
      <c r="L31" s="208"/>
      <c r="M31" s="209"/>
      <c r="N31" s="209"/>
      <c r="O31" s="209"/>
      <c r="P31" s="209"/>
      <c r="Q31" s="209"/>
      <c r="R31" s="209"/>
      <c r="S31" s="209"/>
      <c r="T31" s="209"/>
      <c r="U31" s="209"/>
      <c r="V31" s="209"/>
      <c r="W31" s="209"/>
      <c r="X31" s="369"/>
    </row>
    <row r="32" spans="1:24" ht="11.25" customHeight="1" x14ac:dyDescent="0.25">
      <c r="A32" s="1204" t="str">
        <f>A3A!A497</f>
        <v>Vote 10 - 550 ROADS &amp; STORMWATER</v>
      </c>
      <c r="B32" s="1183"/>
      <c r="C32" s="1205">
        <f>A3A!C497</f>
        <v>0</v>
      </c>
      <c r="D32" s="1205">
        <f>A3A!D497</f>
        <v>10271819.15</v>
      </c>
      <c r="E32" s="1206">
        <f>A3A!E497</f>
        <v>5683924.1600000001</v>
      </c>
      <c r="F32" s="1207">
        <f>A3A!F497</f>
        <v>6084254</v>
      </c>
      <c r="G32" s="1205">
        <f>A3A!G497</f>
        <v>4500171.26</v>
      </c>
      <c r="H32" s="1208">
        <f>A3A!H497</f>
        <v>4500171.26</v>
      </c>
      <c r="I32" s="1209">
        <f>A3A!I497</f>
        <v>12396124.210000001</v>
      </c>
      <c r="J32" s="1205">
        <f>A3A!J497</f>
        <v>13127495.538390001</v>
      </c>
      <c r="K32" s="2153">
        <f>A3A!K497</f>
        <v>13862635.28853984</v>
      </c>
      <c r="L32" s="208"/>
      <c r="M32" s="209"/>
      <c r="N32" s="209"/>
      <c r="O32" s="209"/>
      <c r="P32" s="209"/>
      <c r="Q32" s="209"/>
      <c r="R32" s="209"/>
      <c r="S32" s="209"/>
      <c r="T32" s="209"/>
      <c r="U32" s="209"/>
      <c r="V32" s="209"/>
      <c r="W32" s="209"/>
      <c r="X32" s="369"/>
    </row>
    <row r="33" spans="1:24" ht="11.25" customHeight="1" x14ac:dyDescent="0.25">
      <c r="A33" s="1204" t="str">
        <f>A3A!A527</f>
        <v>Vote 11 - 560 SANITATION SERVICES</v>
      </c>
      <c r="B33" s="1183"/>
      <c r="C33" s="324">
        <f>A3A!C527</f>
        <v>0</v>
      </c>
      <c r="D33" s="324">
        <f>A3A!D527</f>
        <v>0</v>
      </c>
      <c r="E33" s="193">
        <f>A3A!E527</f>
        <v>0</v>
      </c>
      <c r="F33" s="194">
        <f>A3A!F527</f>
        <v>0</v>
      </c>
      <c r="G33" s="192">
        <f>A3A!G527</f>
        <v>0</v>
      </c>
      <c r="H33" s="193">
        <f>A3A!H527</f>
        <v>0</v>
      </c>
      <c r="I33" s="1268">
        <f>A3A!I527</f>
        <v>5803456</v>
      </c>
      <c r="J33" s="192">
        <f>A3A!J527</f>
        <v>6145859.9040000001</v>
      </c>
      <c r="K33" s="1269">
        <f>A3A!K527</f>
        <v>6490028.0586240003</v>
      </c>
      <c r="L33" s="193">
        <f>A3A!L528</f>
        <v>0</v>
      </c>
      <c r="M33" s="209"/>
      <c r="N33" s="209"/>
      <c r="O33" s="209"/>
      <c r="P33" s="209"/>
      <c r="Q33" s="209"/>
      <c r="R33" s="209"/>
      <c r="S33" s="209"/>
      <c r="T33" s="209"/>
      <c r="U33" s="209"/>
      <c r="V33" s="209"/>
      <c r="W33" s="209"/>
      <c r="X33" s="369"/>
    </row>
    <row r="34" spans="1:24" ht="11.25" customHeight="1" x14ac:dyDescent="0.25">
      <c r="A34" s="1204" t="str">
        <f>A3A!A541</f>
        <v>Vote 12 - 106 CORPORATE SERVICES</v>
      </c>
      <c r="B34" s="1183"/>
      <c r="C34" s="324">
        <f>A3A!C541</f>
        <v>0</v>
      </c>
      <c r="D34" s="324">
        <f>A3A!D541</f>
        <v>12552106.399999997</v>
      </c>
      <c r="E34" s="193">
        <f>A3A!E541</f>
        <v>33654172</v>
      </c>
      <c r="F34" s="194">
        <f>A3A!F541</f>
        <v>21574835</v>
      </c>
      <c r="G34" s="192">
        <f>A3A!G541</f>
        <v>22904213.750000004</v>
      </c>
      <c r="H34" s="193">
        <f>A3A!H541</f>
        <v>22904213.750000004</v>
      </c>
      <c r="I34" s="1268">
        <f>A3A!I541</f>
        <v>24250474.91</v>
      </c>
      <c r="J34" s="192">
        <f>A3A!J541</f>
        <v>25681252.929690003</v>
      </c>
      <c r="K34" s="1269">
        <f>A3A!K541</f>
        <v>27119403.093752641</v>
      </c>
      <c r="L34" s="193">
        <f>A3A!L542</f>
        <v>0</v>
      </c>
      <c r="M34" s="209"/>
      <c r="N34" s="209"/>
      <c r="O34" s="209"/>
      <c r="P34" s="209"/>
      <c r="Q34" s="209"/>
      <c r="R34" s="209"/>
      <c r="S34" s="209"/>
      <c r="T34" s="209"/>
      <c r="U34" s="209"/>
      <c r="V34" s="209"/>
      <c r="W34" s="209"/>
      <c r="X34" s="369"/>
    </row>
    <row r="35" spans="1:24" ht="11.25" customHeight="1" x14ac:dyDescent="0.25">
      <c r="A35" s="1204" t="str">
        <f>A3A!A591</f>
        <v>Vote 13 - 107 COMMUNITY SERVICES</v>
      </c>
      <c r="B35" s="1183"/>
      <c r="C35" s="1507">
        <f>A3A!C591</f>
        <v>0</v>
      </c>
      <c r="D35" s="1507">
        <f>A3A!D591</f>
        <v>26800947.700000003</v>
      </c>
      <c r="E35" s="1508">
        <f>A3A!E591</f>
        <v>37698030.330000006</v>
      </c>
      <c r="F35" s="1509">
        <f>A3A!F591</f>
        <v>29692590</v>
      </c>
      <c r="G35" s="1467">
        <f>A3A!G591</f>
        <v>30409911</v>
      </c>
      <c r="H35" s="1508">
        <f>A3A!H591</f>
        <v>30409911</v>
      </c>
      <c r="I35" s="2154">
        <f>A3A!I591</f>
        <v>6244531</v>
      </c>
      <c r="J35" s="1467">
        <f>A3A!J591</f>
        <v>6612958.3289999999</v>
      </c>
      <c r="K35" s="2161">
        <f>A3A!K591</f>
        <v>6983283.9954239996</v>
      </c>
      <c r="L35" s="1508">
        <f>A3A!L592</f>
        <v>0</v>
      </c>
      <c r="M35" s="209"/>
      <c r="N35" s="209"/>
      <c r="O35" s="209"/>
      <c r="P35" s="209"/>
      <c r="Q35" s="209"/>
      <c r="R35" s="209"/>
      <c r="S35" s="209"/>
      <c r="T35" s="209"/>
      <c r="U35" s="209"/>
      <c r="V35" s="209"/>
      <c r="W35" s="209"/>
      <c r="X35" s="369"/>
    </row>
    <row r="36" spans="1:24" ht="11.25" customHeight="1" x14ac:dyDescent="0.25">
      <c r="A36" s="1204" t="str">
        <f>A3A!A661</f>
        <v>Vote 14 - 108 PUBLIC SAFETY &amp; ROADS</v>
      </c>
      <c r="B36" s="1183"/>
      <c r="C36" s="1507">
        <f>A3A!C661</f>
        <v>0</v>
      </c>
      <c r="D36" s="1507">
        <f>A3A!D661</f>
        <v>3873601.7800000003</v>
      </c>
      <c r="E36" s="1508">
        <f>A3A!E661</f>
        <v>4307989.6300000008</v>
      </c>
      <c r="F36" s="1509">
        <f>A3A!F661</f>
        <v>4249381</v>
      </c>
      <c r="G36" s="1467">
        <f>A3A!G661</f>
        <v>4196600.5100000007</v>
      </c>
      <c r="H36" s="1508">
        <f>A3A!H661</f>
        <v>4196600.5100000007</v>
      </c>
      <c r="I36" s="2154">
        <f>A3A!I661</f>
        <v>23385851</v>
      </c>
      <c r="J36" s="1467">
        <f>A3A!J661</f>
        <v>24765616.208999999</v>
      </c>
      <c r="K36" s="2161">
        <f>A3A!K661</f>
        <v>26152490.716704</v>
      </c>
      <c r="L36" s="1508">
        <f>A3A!L662</f>
        <v>0</v>
      </c>
      <c r="M36" s="209"/>
      <c r="N36" s="209"/>
      <c r="O36" s="209"/>
      <c r="P36" s="209"/>
      <c r="Q36" s="209"/>
      <c r="R36" s="209"/>
      <c r="S36" s="209"/>
      <c r="T36" s="209"/>
      <c r="U36" s="209"/>
      <c r="V36" s="209"/>
      <c r="W36" s="209"/>
      <c r="X36" s="369"/>
    </row>
    <row r="37" spans="1:24" ht="11.25" customHeight="1" x14ac:dyDescent="0.25">
      <c r="A37" s="1204" t="str">
        <f>A3A!A691</f>
        <v>Vote 15 - 300 SPORTS,RECREATION ARTS,CULTURE AND PROPERTY SERVICES</v>
      </c>
      <c r="B37" s="1183"/>
      <c r="C37" s="1507">
        <f>A3A!C691</f>
        <v>0</v>
      </c>
      <c r="D37" s="1507">
        <f>A3A!D691</f>
        <v>668538.09</v>
      </c>
      <c r="E37" s="1508">
        <f>A3A!E691</f>
        <v>1205271.1499999999</v>
      </c>
      <c r="F37" s="1509">
        <f>A3A!F691</f>
        <v>310000</v>
      </c>
      <c r="G37" s="1467">
        <f>A3A!G691</f>
        <v>271111</v>
      </c>
      <c r="H37" s="1508">
        <f>A3A!H691</f>
        <v>271111</v>
      </c>
      <c r="I37" s="2154">
        <f>A3A!I691</f>
        <v>9029633</v>
      </c>
      <c r="J37" s="1467">
        <f>A3A!J691</f>
        <v>9562381.347000001</v>
      </c>
      <c r="K37" s="2161">
        <f>A3A!K691</f>
        <v>10097874.702431999</v>
      </c>
      <c r="L37" s="1508">
        <f>A3A!L692</f>
        <v>0</v>
      </c>
      <c r="M37" s="209"/>
      <c r="N37" s="209"/>
      <c r="O37" s="209"/>
      <c r="P37" s="209"/>
      <c r="Q37" s="209"/>
      <c r="R37" s="209"/>
      <c r="S37" s="209"/>
      <c r="T37" s="209"/>
      <c r="U37" s="209"/>
      <c r="V37" s="209"/>
      <c r="W37" s="209"/>
      <c r="X37" s="369"/>
    </row>
    <row r="38" spans="1:24" ht="11.25" customHeight="1" x14ac:dyDescent="0.25">
      <c r="A38" s="1363" t="s">
        <v>179</v>
      </c>
      <c r="B38" s="1362">
        <v>2</v>
      </c>
      <c r="C38" s="1369">
        <f>SUM(C23:C37)</f>
        <v>367303885</v>
      </c>
      <c r="D38" s="1369">
        <f t="shared" ref="D38:K38" si="1">SUM(D23:D37)</f>
        <v>480311834.56999993</v>
      </c>
      <c r="E38" s="1370">
        <f t="shared" si="1"/>
        <v>634171173</v>
      </c>
      <c r="F38" s="1371">
        <f t="shared" si="1"/>
        <v>542203713.77425599</v>
      </c>
      <c r="G38" s="1369">
        <f t="shared" si="1"/>
        <v>360517281.74825597</v>
      </c>
      <c r="H38" s="1372">
        <f t="shared" si="1"/>
        <v>360517281.74825597</v>
      </c>
      <c r="I38" s="1373">
        <f t="shared" si="1"/>
        <v>629943578.63999999</v>
      </c>
      <c r="J38" s="1369">
        <f t="shared" si="1"/>
        <v>667110249.77976012</v>
      </c>
      <c r="K38" s="2155">
        <f t="shared" si="1"/>
        <v>704468423.76742661</v>
      </c>
      <c r="L38" s="199">
        <f t="shared" ref="L38:W38" si="2">SUM(L23:L29)</f>
        <v>0</v>
      </c>
      <c r="M38" s="200">
        <f t="shared" si="2"/>
        <v>0</v>
      </c>
      <c r="N38" s="200">
        <f t="shared" si="2"/>
        <v>0</v>
      </c>
      <c r="O38" s="200">
        <f t="shared" si="2"/>
        <v>0</v>
      </c>
      <c r="P38" s="200">
        <f t="shared" si="2"/>
        <v>0</v>
      </c>
      <c r="Q38" s="200">
        <f t="shared" si="2"/>
        <v>0</v>
      </c>
      <c r="R38" s="200">
        <f t="shared" si="2"/>
        <v>0</v>
      </c>
      <c r="S38" s="200">
        <f t="shared" si="2"/>
        <v>0</v>
      </c>
      <c r="T38" s="200">
        <f t="shared" si="2"/>
        <v>0</v>
      </c>
      <c r="U38" s="200">
        <f t="shared" si="2"/>
        <v>0</v>
      </c>
      <c r="V38" s="200">
        <f t="shared" si="2"/>
        <v>0</v>
      </c>
      <c r="W38" s="200">
        <f t="shared" si="2"/>
        <v>0</v>
      </c>
      <c r="X38" s="369"/>
    </row>
    <row r="39" spans="1:24" ht="13.5" thickBot="1" x14ac:dyDescent="0.3">
      <c r="A39" s="1222" t="str">
        <f>result</f>
        <v>Surplus/(Deficit) for the year</v>
      </c>
      <c r="B39" s="1187">
        <v>2</v>
      </c>
      <c r="C39" s="1148">
        <f t="shared" ref="C39:W39" si="3">C20-C38</f>
        <v>14225858</v>
      </c>
      <c r="D39" s="1148">
        <f t="shared" si="3"/>
        <v>30489701.430000067</v>
      </c>
      <c r="E39" s="1223">
        <f t="shared" si="3"/>
        <v>-132346446.53000009</v>
      </c>
      <c r="F39" s="1224">
        <f t="shared" si="3"/>
        <v>-68443590.786256015</v>
      </c>
      <c r="G39" s="1225">
        <f t="shared" si="3"/>
        <v>141053425.83974415</v>
      </c>
      <c r="H39" s="1226">
        <f t="shared" si="3"/>
        <v>141053425.83974415</v>
      </c>
      <c r="I39" s="1227">
        <f t="shared" si="3"/>
        <v>-20867501.849999905</v>
      </c>
      <c r="J39" s="1225">
        <f t="shared" si="3"/>
        <v>-22098684.459150076</v>
      </c>
      <c r="K39" s="2162">
        <f t="shared" si="3"/>
        <v>-23336210.788862467</v>
      </c>
      <c r="L39" s="233">
        <f t="shared" si="3"/>
        <v>0</v>
      </c>
      <c r="M39" s="234">
        <f t="shared" si="3"/>
        <v>0</v>
      </c>
      <c r="N39" s="234">
        <f t="shared" si="3"/>
        <v>0</v>
      </c>
      <c r="O39" s="234">
        <f t="shared" si="3"/>
        <v>0</v>
      </c>
      <c r="P39" s="234">
        <f t="shared" si="3"/>
        <v>0</v>
      </c>
      <c r="Q39" s="234">
        <f t="shared" si="3"/>
        <v>0</v>
      </c>
      <c r="R39" s="234">
        <f t="shared" si="3"/>
        <v>0</v>
      </c>
      <c r="S39" s="234">
        <f t="shared" si="3"/>
        <v>0</v>
      </c>
      <c r="T39" s="234">
        <f t="shared" si="3"/>
        <v>0</v>
      </c>
      <c r="U39" s="234">
        <f t="shared" si="3"/>
        <v>0</v>
      </c>
      <c r="V39" s="234">
        <f t="shared" si="3"/>
        <v>0</v>
      </c>
      <c r="W39" s="234">
        <f t="shared" si="3"/>
        <v>0</v>
      </c>
      <c r="X39" s="369"/>
    </row>
    <row r="40" spans="1:24" s="708" customFormat="1" ht="11.25" customHeight="1" thickTop="1" x14ac:dyDescent="0.25">
      <c r="A40" s="1228" t="str">
        <f>head27a</f>
        <v>References</v>
      </c>
      <c r="B40" s="1229"/>
      <c r="C40" s="1154"/>
      <c r="D40" s="1230"/>
      <c r="E40" s="1231"/>
      <c r="F40" s="1231"/>
      <c r="G40" s="1231"/>
      <c r="H40" s="1231"/>
      <c r="I40" s="1231"/>
      <c r="J40" s="1231"/>
      <c r="K40" s="1231"/>
    </row>
    <row r="41" spans="1:24" s="708" customFormat="1" ht="11.25" customHeight="1" x14ac:dyDescent="0.25">
      <c r="A41" s="1193" t="s">
        <v>189</v>
      </c>
      <c r="B41" s="1229"/>
      <c r="C41" s="1232"/>
      <c r="D41" s="1232"/>
      <c r="E41" s="1233"/>
      <c r="F41" s="1233"/>
      <c r="G41" s="1233"/>
      <c r="H41" s="1233"/>
      <c r="I41" s="1233"/>
      <c r="J41" s="1233"/>
      <c r="K41" s="1233"/>
    </row>
    <row r="42" spans="1:24" s="708" customFormat="1" ht="11.25" customHeight="1" x14ac:dyDescent="0.25">
      <c r="A42" s="1234" t="s">
        <v>188</v>
      </c>
      <c r="B42" s="1229"/>
      <c r="C42" s="1232"/>
      <c r="D42" s="1232"/>
      <c r="E42" s="1233"/>
      <c r="F42" s="1233"/>
      <c r="G42" s="1233"/>
      <c r="H42" s="1233"/>
      <c r="I42" s="1233"/>
      <c r="J42" s="1233"/>
      <c r="K42" s="1233"/>
    </row>
    <row r="43" spans="1:24" s="708" customFormat="1" ht="11.25" customHeight="1" x14ac:dyDescent="0.25">
      <c r="A43" s="1234" t="s">
        <v>436</v>
      </c>
      <c r="B43" s="1189"/>
      <c r="C43" s="1235"/>
      <c r="D43" s="1235"/>
      <c r="E43" s="1236"/>
      <c r="F43" s="1236"/>
      <c r="G43" s="1236"/>
      <c r="H43" s="1236"/>
      <c r="I43" s="1236"/>
      <c r="J43" s="1236"/>
      <c r="K43" s="1236"/>
    </row>
    <row r="44" spans="1:24" ht="11.25" customHeight="1" x14ac:dyDescent="0.25">
      <c r="A44" s="1190"/>
      <c r="B44" s="703"/>
      <c r="C44" s="706"/>
      <c r="D44" s="706"/>
      <c r="E44" s="706"/>
      <c r="F44" s="706"/>
      <c r="G44" s="706"/>
      <c r="H44" s="706"/>
      <c r="I44" s="706"/>
      <c r="J44" s="706"/>
      <c r="K44" s="706"/>
    </row>
    <row r="45" spans="1:24" ht="11.25" customHeight="1" x14ac:dyDescent="0.25">
      <c r="A45" s="1235" t="str">
        <f>"check "&amp;A39</f>
        <v>check Surplus/(Deficit) for the year</v>
      </c>
      <c r="B45" s="703"/>
      <c r="C45" s="1236">
        <f>C39-A3A!C709</f>
        <v>0</v>
      </c>
      <c r="D45" s="1236">
        <f>D39-A3A!D709</f>
        <v>0</v>
      </c>
      <c r="E45" s="1236">
        <f>E39-A3A!E709</f>
        <v>0</v>
      </c>
      <c r="F45" s="1236">
        <f>F39-A3A!F709</f>
        <v>0</v>
      </c>
      <c r="G45" s="1236">
        <f>G39-A3A!G709</f>
        <v>0</v>
      </c>
      <c r="H45" s="1236">
        <f>H39-A3A!H709</f>
        <v>0</v>
      </c>
      <c r="I45" s="1236">
        <f>I39-A3A!I709</f>
        <v>0</v>
      </c>
      <c r="J45" s="1236">
        <f>J39-A3A!J709</f>
        <v>0</v>
      </c>
      <c r="K45" s="1236">
        <f>K39-A3A!K709</f>
        <v>0</v>
      </c>
    </row>
    <row r="46" spans="1:24" ht="11.25" customHeight="1" x14ac:dyDescent="0.25">
      <c r="A46" s="244"/>
      <c r="C46" s="245"/>
      <c r="D46" s="245"/>
      <c r="E46" s="245"/>
      <c r="F46" s="245"/>
      <c r="G46" s="245"/>
      <c r="H46" s="245"/>
      <c r="I46" s="245"/>
      <c r="J46" s="245"/>
      <c r="K46" s="245"/>
    </row>
    <row r="47" spans="1:24" ht="11.25" customHeight="1" x14ac:dyDescent="0.25">
      <c r="A47" s="246"/>
    </row>
    <row r="48" spans="1:24" ht="11.25" customHeight="1" x14ac:dyDescent="0.25">
      <c r="A48" s="246"/>
    </row>
    <row r="49" spans="3:11" ht="11.25" customHeight="1" x14ac:dyDescent="0.25">
      <c r="C49" s="362"/>
      <c r="D49" s="362"/>
      <c r="E49" s="362"/>
      <c r="F49" s="362"/>
      <c r="G49" s="362"/>
      <c r="H49" s="362"/>
      <c r="I49" s="362"/>
      <c r="J49" s="362"/>
      <c r="K49" s="362"/>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sheet="1" objects="1" scenarios="1"/>
  <customSheetViews>
    <customSheetView guid="{F50C5479-5CC4-4FD7-8319-543D29E829F0}" showGridLines="0" fitToPage="1" hiddenColumns="1">
      <selection activeCell="L1" sqref="L1:W65536"/>
      <pageMargins left="0.34" right="0" top="0.78740157480314965" bottom="0.59055118110236227" header="0.51181102362204722" footer="0.39370078740157483"/>
      <printOptions horizontalCentered="1"/>
      <pageSetup paperSize="9" scale="86" orientation="portrait" r:id="rId1"/>
      <headerFooter alignWithMargins="0"/>
    </customSheetView>
  </customSheetViews>
  <mergeCells count="3">
    <mergeCell ref="F2:H2"/>
    <mergeCell ref="I2:K2"/>
    <mergeCell ref="L2:W2"/>
  </mergeCells>
  <phoneticPr fontId="2" type="noConversion"/>
  <printOptions horizontalCentered="1"/>
  <pageMargins left="0.34" right="0" top="0.78740157480314965" bottom="0.59055118110236227" header="0.51181102362204722" footer="0.39370078740157483"/>
  <pageSetup paperSize="9" scale="86"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W748"/>
  <sheetViews>
    <sheetView showGridLines="0" showZeros="0" zoomScaleNormal="100" workbookViewId="0">
      <pane xSplit="2" ySplit="3" topLeftCell="C689" activePane="bottomRight" state="frozen"/>
      <selection pane="topRight"/>
      <selection pane="bottomLeft"/>
      <selection pane="bottomRight" activeCell="I542" sqref="I542:I588"/>
    </sheetView>
  </sheetViews>
  <sheetFormatPr defaultRowHeight="12.75" x14ac:dyDescent="0.25"/>
  <cols>
    <col min="1" max="1" width="30.7109375" style="149" customWidth="1"/>
    <col min="2" max="2" width="3" style="1043" customWidth="1"/>
    <col min="3" max="10" width="9.28515625" style="149" customWidth="1"/>
    <col min="11" max="11" width="9.28515625" style="2683" customWidth="1"/>
    <col min="12" max="23" width="9.140625" style="149" hidden="1" customWidth="1"/>
    <col min="24" max="16384" width="9.140625" style="149"/>
  </cols>
  <sheetData>
    <row r="1" spans="1:23" s="179" customFormat="1" x14ac:dyDescent="0.2">
      <c r="A1" s="1117" t="str">
        <f>muni&amp;" - "&amp;Approve2&amp;"A"</f>
        <v>MP315 Thembisile Hani - Table A3 Budgeted Financial Performance (revenue and expenditure by municipal vote)A</v>
      </c>
      <c r="B1" s="1117"/>
      <c r="C1" s="1117"/>
      <c r="D1" s="1117"/>
      <c r="E1" s="1117"/>
      <c r="F1" s="1117"/>
      <c r="G1" s="1117"/>
      <c r="H1" s="1117"/>
      <c r="I1" s="1117"/>
      <c r="J1" s="1117"/>
      <c r="K1" s="2670"/>
    </row>
    <row r="2" spans="1:23" ht="28.5" customHeight="1" x14ac:dyDescent="0.25">
      <c r="A2" s="1194" t="str">
        <f>Vdesc</f>
        <v>Vote Description</v>
      </c>
      <c r="B2" s="1195" t="str">
        <f>head27</f>
        <v>Ref</v>
      </c>
      <c r="C2" s="1119" t="str">
        <f>head1b</f>
        <v>2011/12</v>
      </c>
      <c r="D2" s="1119" t="str">
        <f>head1A</f>
        <v>2012/13</v>
      </c>
      <c r="E2" s="1120" t="str">
        <f>Head1</f>
        <v>2013/14</v>
      </c>
      <c r="F2" s="2772" t="str">
        <f>Head2</f>
        <v>Current Year 2014/15</v>
      </c>
      <c r="G2" s="2773"/>
      <c r="H2" s="2773"/>
      <c r="I2" s="2774" t="str">
        <f>Head3</f>
        <v>2015/16 Medium Term Revenue &amp; Expenditure Framework</v>
      </c>
      <c r="J2" s="2775"/>
      <c r="K2" s="2776"/>
      <c r="L2" s="2777" t="str">
        <f>Head4</f>
        <v>LTFS</v>
      </c>
      <c r="M2" s="2778"/>
      <c r="N2" s="2778"/>
      <c r="O2" s="2778"/>
      <c r="P2" s="2778"/>
      <c r="Q2" s="2778"/>
      <c r="R2" s="2778"/>
      <c r="S2" s="2778"/>
      <c r="T2" s="2778"/>
      <c r="U2" s="2778"/>
      <c r="V2" s="2778"/>
      <c r="W2" s="2779"/>
    </row>
    <row r="3" spans="1:23" ht="38.25" x14ac:dyDescent="0.25">
      <c r="A3" s="1196" t="s">
        <v>662</v>
      </c>
      <c r="B3" s="1197"/>
      <c r="C3" s="1121" t="str">
        <f>Head5</f>
        <v>Audited Outcome</v>
      </c>
      <c r="D3" s="1121" t="str">
        <f>Head5</f>
        <v>Audited Outcome</v>
      </c>
      <c r="E3" s="1122" t="str">
        <f>Head5</f>
        <v>Audited Outcome</v>
      </c>
      <c r="F3" s="1123" t="str">
        <f>Head6</f>
        <v>Original Budget</v>
      </c>
      <c r="G3" s="1121" t="str">
        <f>Head7</f>
        <v>Adjusted Budget</v>
      </c>
      <c r="H3" s="1122" t="str">
        <f>Head8</f>
        <v>Full Year Forecast</v>
      </c>
      <c r="I3" s="1123" t="str">
        <f>Head9</f>
        <v>Budget Year 2015/16</v>
      </c>
      <c r="J3" s="1121" t="str">
        <f>Head10</f>
        <v>Budget Year +1 2016/17</v>
      </c>
      <c r="K3" s="2671" t="str">
        <f>Head11</f>
        <v>Budget Year +2 2017/18</v>
      </c>
      <c r="L3" s="1543" t="str">
        <f>Head12</f>
        <v>Forecast 2018/19</v>
      </c>
      <c r="M3" s="1544" t="str">
        <f>Head13</f>
        <v>Forecast 2019/20</v>
      </c>
      <c r="N3" s="1544" t="str">
        <f>Head14</f>
        <v>Forecast 2020/21</v>
      </c>
      <c r="O3" s="1544" t="str">
        <f>Head15</f>
        <v>Forecast 2021/22</v>
      </c>
      <c r="P3" s="1544" t="str">
        <f>Head16</f>
        <v>Forecast 2022/23</v>
      </c>
      <c r="Q3" s="1544" t="str">
        <f>Head17</f>
        <v>Forecast 2023/24</v>
      </c>
      <c r="R3" s="1544" t="str">
        <f>Head18</f>
        <v>Forecast 2024/25</v>
      </c>
      <c r="S3" s="1544" t="str">
        <f>Head19</f>
        <v>Forecast 2025/26</v>
      </c>
      <c r="T3" s="1544" t="str">
        <f>Head20</f>
        <v>Forecast 2026/27</v>
      </c>
      <c r="U3" s="1544" t="str">
        <f>Head21</f>
        <v>Forecast 2027/28</v>
      </c>
      <c r="V3" s="1544" t="str">
        <f>Head22</f>
        <v>Forecast 2028/29</v>
      </c>
      <c r="W3" s="1544" t="str">
        <f>Head23</f>
        <v>Forecast 2029/30</v>
      </c>
    </row>
    <row r="4" spans="1:23" ht="11.25" customHeight="1" x14ac:dyDescent="0.25">
      <c r="A4" s="1198" t="s">
        <v>1358</v>
      </c>
      <c r="B4" s="1183">
        <v>1</v>
      </c>
      <c r="C4" s="1199"/>
      <c r="D4" s="1199"/>
      <c r="E4" s="1200"/>
      <c r="F4" s="1201"/>
      <c r="G4" s="1199"/>
      <c r="H4" s="1202"/>
      <c r="I4" s="1203"/>
      <c r="J4" s="1199"/>
      <c r="K4" s="2672"/>
      <c r="L4" s="188"/>
      <c r="M4" s="189"/>
      <c r="N4" s="189"/>
      <c r="O4" s="189"/>
      <c r="P4" s="189"/>
      <c r="Q4" s="189"/>
      <c r="R4" s="189"/>
      <c r="S4" s="189"/>
      <c r="T4" s="189"/>
      <c r="U4" s="189"/>
      <c r="V4" s="189"/>
      <c r="W4" s="189"/>
    </row>
    <row r="5" spans="1:23" ht="15" customHeight="1" x14ac:dyDescent="0.25">
      <c r="A5" s="1164" t="str">
        <f>'Org structure'!A2</f>
        <v>Vote 1 - 100 COUNCIL &amp; GENERAL</v>
      </c>
      <c r="B5" s="1053"/>
      <c r="C5" s="971">
        <f>SUM(C6:C15)</f>
        <v>342124000</v>
      </c>
      <c r="D5" s="971">
        <f t="shared" ref="D5:K5" si="0">SUM(D6:D15)</f>
        <v>49553000</v>
      </c>
      <c r="E5" s="972">
        <f t="shared" si="0"/>
        <v>0</v>
      </c>
      <c r="F5" s="973">
        <f t="shared" si="0"/>
        <v>0</v>
      </c>
      <c r="G5" s="971">
        <f t="shared" si="0"/>
        <v>0</v>
      </c>
      <c r="H5" s="974">
        <f t="shared" si="0"/>
        <v>0</v>
      </c>
      <c r="I5" s="975">
        <f t="shared" si="0"/>
        <v>0</v>
      </c>
      <c r="J5" s="971">
        <f t="shared" si="0"/>
        <v>0</v>
      </c>
      <c r="K5" s="2673">
        <f t="shared" si="0"/>
        <v>0</v>
      </c>
      <c r="L5" s="188"/>
      <c r="M5" s="189"/>
      <c r="N5" s="189"/>
      <c r="O5" s="189"/>
      <c r="P5" s="189"/>
      <c r="Q5" s="189"/>
      <c r="R5" s="189"/>
      <c r="S5" s="189"/>
      <c r="T5" s="189"/>
      <c r="U5" s="189"/>
      <c r="V5" s="189"/>
      <c r="W5" s="189"/>
    </row>
    <row r="6" spans="1:23" ht="11.25" customHeight="1" x14ac:dyDescent="0.25">
      <c r="A6" s="1165" t="s">
        <v>2326</v>
      </c>
      <c r="B6" s="1041"/>
      <c r="C6" s="1621">
        <v>342124000</v>
      </c>
      <c r="D6" s="1621">
        <v>49553000</v>
      </c>
      <c r="E6" s="1622"/>
      <c r="F6" s="1623"/>
      <c r="G6" s="1621"/>
      <c r="H6" s="1624"/>
      <c r="I6" s="1625"/>
      <c r="J6" s="1621"/>
      <c r="K6" s="2674"/>
      <c r="L6" s="188"/>
      <c r="M6" s="189"/>
      <c r="N6" s="189"/>
      <c r="O6" s="189"/>
      <c r="P6" s="189"/>
      <c r="Q6" s="189"/>
      <c r="R6" s="189"/>
      <c r="S6" s="189"/>
      <c r="T6" s="189"/>
      <c r="U6" s="189"/>
      <c r="V6" s="189"/>
      <c r="W6" s="189"/>
    </row>
    <row r="7" spans="1:23" ht="11.25" customHeight="1" x14ac:dyDescent="0.25">
      <c r="A7" s="1165">
        <f>'Org structure'!E4</f>
        <v>0</v>
      </c>
      <c r="B7" s="1041"/>
      <c r="C7" s="1621"/>
      <c r="D7" s="1621"/>
      <c r="E7" s="1622"/>
      <c r="F7" s="1623"/>
      <c r="G7" s="1621"/>
      <c r="H7" s="1624"/>
      <c r="I7" s="1625"/>
      <c r="J7" s="1621"/>
      <c r="K7" s="2674"/>
      <c r="L7" s="188"/>
      <c r="M7" s="189"/>
      <c r="N7" s="189"/>
      <c r="O7" s="189"/>
      <c r="P7" s="189"/>
      <c r="Q7" s="189"/>
      <c r="R7" s="189"/>
      <c r="S7" s="189"/>
      <c r="T7" s="189"/>
      <c r="U7" s="189"/>
      <c r="V7" s="189"/>
      <c r="W7" s="189"/>
    </row>
    <row r="8" spans="1:23" ht="11.25" customHeight="1" x14ac:dyDescent="0.25">
      <c r="A8" s="1165">
        <f>'Org structure'!E5</f>
        <v>0</v>
      </c>
      <c r="B8" s="1041"/>
      <c r="C8" s="1621"/>
      <c r="D8" s="1621"/>
      <c r="E8" s="1622"/>
      <c r="F8" s="1623"/>
      <c r="G8" s="1621"/>
      <c r="H8" s="1624"/>
      <c r="I8" s="1625"/>
      <c r="J8" s="1621"/>
      <c r="K8" s="2674"/>
      <c r="L8" s="188"/>
      <c r="M8" s="189"/>
      <c r="N8" s="189"/>
      <c r="O8" s="189"/>
      <c r="P8" s="189"/>
      <c r="Q8" s="189"/>
      <c r="R8" s="189"/>
      <c r="S8" s="189"/>
      <c r="T8" s="189"/>
      <c r="U8" s="189"/>
      <c r="V8" s="189"/>
      <c r="W8" s="189"/>
    </row>
    <row r="9" spans="1:23" ht="11.25" customHeight="1" x14ac:dyDescent="0.25">
      <c r="A9" s="1165">
        <f>'Org structure'!E6</f>
        <v>0</v>
      </c>
      <c r="B9" s="1041"/>
      <c r="C9" s="1621"/>
      <c r="D9" s="1621"/>
      <c r="E9" s="1622"/>
      <c r="F9" s="1623"/>
      <c r="G9" s="1621"/>
      <c r="H9" s="1624"/>
      <c r="I9" s="1625"/>
      <c r="J9" s="1621"/>
      <c r="K9" s="2674"/>
      <c r="L9" s="188"/>
      <c r="M9" s="189"/>
      <c r="N9" s="189"/>
      <c r="O9" s="189"/>
      <c r="P9" s="189"/>
      <c r="Q9" s="189"/>
      <c r="R9" s="189"/>
      <c r="S9" s="189"/>
      <c r="T9" s="189"/>
      <c r="U9" s="189"/>
      <c r="V9" s="189"/>
      <c r="W9" s="189"/>
    </row>
    <row r="10" spans="1:23" ht="11.25" customHeight="1" x14ac:dyDescent="0.25">
      <c r="A10" s="1165">
        <f>'Org structure'!E7</f>
        <v>0</v>
      </c>
      <c r="B10" s="1041"/>
      <c r="C10" s="1621"/>
      <c r="D10" s="1621"/>
      <c r="E10" s="1622"/>
      <c r="F10" s="1623"/>
      <c r="G10" s="1621"/>
      <c r="H10" s="1624"/>
      <c r="I10" s="1625"/>
      <c r="J10" s="1621"/>
      <c r="K10" s="2674"/>
      <c r="L10" s="188"/>
      <c r="M10" s="189"/>
      <c r="N10" s="189"/>
      <c r="O10" s="189"/>
      <c r="P10" s="189"/>
      <c r="Q10" s="189"/>
      <c r="R10" s="189"/>
      <c r="S10" s="189"/>
      <c r="T10" s="189"/>
      <c r="U10" s="189"/>
      <c r="V10" s="189"/>
      <c r="W10" s="189"/>
    </row>
    <row r="11" spans="1:23" ht="11.25" customHeight="1" x14ac:dyDescent="0.25">
      <c r="A11" s="1165">
        <f>'Org structure'!E8</f>
        <v>0</v>
      </c>
      <c r="B11" s="1041"/>
      <c r="C11" s="1621"/>
      <c r="D11" s="1621"/>
      <c r="E11" s="1622"/>
      <c r="F11" s="1623"/>
      <c r="G11" s="1621"/>
      <c r="H11" s="1624"/>
      <c r="I11" s="1625"/>
      <c r="J11" s="1621"/>
      <c r="K11" s="2674"/>
      <c r="L11" s="188"/>
      <c r="M11" s="189"/>
      <c r="N11" s="189"/>
      <c r="O11" s="189"/>
      <c r="P11" s="189"/>
      <c r="Q11" s="189"/>
      <c r="R11" s="189"/>
      <c r="S11" s="189"/>
      <c r="T11" s="189"/>
      <c r="U11" s="189"/>
      <c r="V11" s="189"/>
      <c r="W11" s="189"/>
    </row>
    <row r="12" spans="1:23" ht="11.25" customHeight="1" x14ac:dyDescent="0.25">
      <c r="A12" s="1165">
        <f>'Org structure'!E9</f>
        <v>0</v>
      </c>
      <c r="B12" s="1041"/>
      <c r="C12" s="1621"/>
      <c r="D12" s="1621"/>
      <c r="E12" s="1622"/>
      <c r="F12" s="1623"/>
      <c r="G12" s="1621"/>
      <c r="H12" s="1624"/>
      <c r="I12" s="1625"/>
      <c r="J12" s="1621"/>
      <c r="K12" s="2674"/>
      <c r="L12" s="188"/>
      <c r="M12" s="189"/>
      <c r="N12" s="189"/>
      <c r="O12" s="189"/>
      <c r="P12" s="189"/>
      <c r="Q12" s="189"/>
      <c r="R12" s="189"/>
      <c r="S12" s="189"/>
      <c r="T12" s="189"/>
      <c r="U12" s="189"/>
      <c r="V12" s="189"/>
      <c r="W12" s="189"/>
    </row>
    <row r="13" spans="1:23" ht="11.25" customHeight="1" x14ac:dyDescent="0.25">
      <c r="A13" s="1165">
        <f>'Org structure'!E10</f>
        <v>0</v>
      </c>
      <c r="B13" s="1041"/>
      <c r="C13" s="1621"/>
      <c r="D13" s="1621"/>
      <c r="E13" s="1622"/>
      <c r="F13" s="1623"/>
      <c r="G13" s="1621"/>
      <c r="H13" s="1624"/>
      <c r="I13" s="1625"/>
      <c r="J13" s="1621"/>
      <c r="K13" s="2674"/>
      <c r="L13" s="188"/>
      <c r="M13" s="189"/>
      <c r="N13" s="189"/>
      <c r="O13" s="189"/>
      <c r="P13" s="189"/>
      <c r="Q13" s="189"/>
      <c r="R13" s="189"/>
      <c r="S13" s="189"/>
      <c r="T13" s="189"/>
      <c r="U13" s="189"/>
      <c r="V13" s="189"/>
      <c r="W13" s="189"/>
    </row>
    <row r="14" spans="1:23" ht="11.25" customHeight="1" x14ac:dyDescent="0.25">
      <c r="A14" s="1165">
        <f>'Org structure'!E11</f>
        <v>0</v>
      </c>
      <c r="B14" s="1041"/>
      <c r="C14" s="1621"/>
      <c r="D14" s="1621"/>
      <c r="E14" s="1622"/>
      <c r="F14" s="1623"/>
      <c r="G14" s="1621"/>
      <c r="H14" s="1624"/>
      <c r="I14" s="1625"/>
      <c r="J14" s="1621"/>
      <c r="K14" s="2674"/>
      <c r="L14" s="188"/>
      <c r="M14" s="189"/>
      <c r="N14" s="189"/>
      <c r="O14" s="189"/>
      <c r="P14" s="189"/>
      <c r="Q14" s="189"/>
      <c r="R14" s="189"/>
      <c r="S14" s="189"/>
      <c r="T14" s="189"/>
      <c r="U14" s="189"/>
      <c r="V14" s="189"/>
      <c r="W14" s="189"/>
    </row>
    <row r="15" spans="1:23" ht="11.25" customHeight="1" x14ac:dyDescent="0.25">
      <c r="A15" s="1165">
        <f>'Org structure'!E12</f>
        <v>0</v>
      </c>
      <c r="B15" s="1041"/>
      <c r="C15" s="1621"/>
      <c r="D15" s="1621"/>
      <c r="E15" s="1622"/>
      <c r="F15" s="1623"/>
      <c r="G15" s="1621"/>
      <c r="H15" s="1624"/>
      <c r="I15" s="1625"/>
      <c r="J15" s="1621"/>
      <c r="K15" s="2674"/>
      <c r="L15" s="188"/>
      <c r="M15" s="189"/>
      <c r="N15" s="189"/>
      <c r="O15" s="189"/>
      <c r="P15" s="189"/>
      <c r="Q15" s="189"/>
      <c r="R15" s="189"/>
      <c r="S15" s="189"/>
      <c r="T15" s="189"/>
      <c r="U15" s="189"/>
      <c r="V15" s="189"/>
      <c r="W15" s="189"/>
    </row>
    <row r="16" spans="1:23" ht="15" customHeight="1" x14ac:dyDescent="0.25">
      <c r="A16" s="1164" t="str">
        <f>'Org structure'!A3</f>
        <v>Vote 2 - 102 MUNICIPAL MANAGER</v>
      </c>
      <c r="B16" s="1053"/>
      <c r="C16" s="971">
        <f>SUM(C17:C26)</f>
        <v>0</v>
      </c>
      <c r="D16" s="971">
        <f t="shared" ref="D16:K16" si="1">SUM(D17:D26)</f>
        <v>0</v>
      </c>
      <c r="E16" s="972">
        <f t="shared" si="1"/>
        <v>0</v>
      </c>
      <c r="F16" s="973">
        <f t="shared" si="1"/>
        <v>0</v>
      </c>
      <c r="G16" s="971">
        <f t="shared" si="1"/>
        <v>0</v>
      </c>
      <c r="H16" s="974">
        <f t="shared" si="1"/>
        <v>0</v>
      </c>
      <c r="I16" s="975">
        <f t="shared" si="1"/>
        <v>0</v>
      </c>
      <c r="J16" s="971">
        <f t="shared" si="1"/>
        <v>0</v>
      </c>
      <c r="K16" s="2673">
        <f t="shared" si="1"/>
        <v>0</v>
      </c>
      <c r="L16" s="188"/>
      <c r="M16" s="189"/>
      <c r="N16" s="189"/>
      <c r="O16" s="189"/>
      <c r="P16" s="189"/>
      <c r="Q16" s="189"/>
      <c r="R16" s="189"/>
      <c r="S16" s="189"/>
      <c r="T16" s="189"/>
      <c r="U16" s="189"/>
      <c r="V16" s="189"/>
      <c r="W16" s="189"/>
    </row>
    <row r="17" spans="1:23" ht="11.25" customHeight="1" x14ac:dyDescent="0.25">
      <c r="A17" s="1165" t="str">
        <f>'Org structure'!E14</f>
        <v>2.1 - [Name of sub-vote]</v>
      </c>
      <c r="B17" s="1041"/>
      <c r="C17" s="1621"/>
      <c r="D17" s="1621"/>
      <c r="E17" s="1622"/>
      <c r="F17" s="1623"/>
      <c r="G17" s="1621"/>
      <c r="H17" s="1624"/>
      <c r="I17" s="1625"/>
      <c r="J17" s="1621"/>
      <c r="K17" s="2674"/>
      <c r="L17" s="188"/>
      <c r="M17" s="189"/>
      <c r="N17" s="189"/>
      <c r="O17" s="189"/>
      <c r="P17" s="189"/>
      <c r="Q17" s="189"/>
      <c r="R17" s="189"/>
      <c r="S17" s="189"/>
      <c r="T17" s="189"/>
      <c r="U17" s="189"/>
      <c r="V17" s="189"/>
      <c r="W17" s="189"/>
    </row>
    <row r="18" spans="1:23" ht="11.25" customHeight="1" x14ac:dyDescent="0.25">
      <c r="A18" s="1165">
        <f>'Org structure'!E15</f>
        <v>0</v>
      </c>
      <c r="B18" s="1041"/>
      <c r="C18" s="1621"/>
      <c r="D18" s="1621"/>
      <c r="E18" s="1622"/>
      <c r="F18" s="1623"/>
      <c r="G18" s="1621"/>
      <c r="H18" s="1624"/>
      <c r="I18" s="1625"/>
      <c r="J18" s="1621"/>
      <c r="K18" s="2674"/>
      <c r="L18" s="188"/>
      <c r="M18" s="189"/>
      <c r="N18" s="189"/>
      <c r="O18" s="189"/>
      <c r="P18" s="189"/>
      <c r="Q18" s="189"/>
      <c r="R18" s="189"/>
      <c r="S18" s="189"/>
      <c r="T18" s="189"/>
      <c r="U18" s="189"/>
      <c r="V18" s="189"/>
      <c r="W18" s="189"/>
    </row>
    <row r="19" spans="1:23" ht="11.25" customHeight="1" x14ac:dyDescent="0.25">
      <c r="A19" s="1165">
        <f>'Org structure'!E16</f>
        <v>0</v>
      </c>
      <c r="B19" s="1041"/>
      <c r="C19" s="1621"/>
      <c r="D19" s="1621"/>
      <c r="E19" s="1622"/>
      <c r="F19" s="1623"/>
      <c r="G19" s="1621"/>
      <c r="H19" s="1624"/>
      <c r="I19" s="1625"/>
      <c r="J19" s="1621"/>
      <c r="K19" s="2674"/>
      <c r="L19" s="188"/>
      <c r="M19" s="189"/>
      <c r="N19" s="189"/>
      <c r="O19" s="189"/>
      <c r="P19" s="189"/>
      <c r="Q19" s="189"/>
      <c r="R19" s="189"/>
      <c r="S19" s="189"/>
      <c r="T19" s="189"/>
      <c r="U19" s="189"/>
      <c r="V19" s="189"/>
      <c r="W19" s="189"/>
    </row>
    <row r="20" spans="1:23" ht="11.25" customHeight="1" x14ac:dyDescent="0.25">
      <c r="A20" s="1165">
        <f>'Org structure'!E17</f>
        <v>0</v>
      </c>
      <c r="B20" s="1041"/>
      <c r="C20" s="1621"/>
      <c r="D20" s="1621"/>
      <c r="E20" s="1622"/>
      <c r="F20" s="1623"/>
      <c r="G20" s="1621"/>
      <c r="H20" s="1624"/>
      <c r="I20" s="1625"/>
      <c r="J20" s="1621"/>
      <c r="K20" s="2674"/>
      <c r="L20" s="188"/>
      <c r="M20" s="189"/>
      <c r="N20" s="189"/>
      <c r="O20" s="189"/>
      <c r="P20" s="189"/>
      <c r="Q20" s="189"/>
      <c r="R20" s="189"/>
      <c r="S20" s="189"/>
      <c r="T20" s="189"/>
      <c r="U20" s="189"/>
      <c r="V20" s="189"/>
      <c r="W20" s="189"/>
    </row>
    <row r="21" spans="1:23" ht="11.25" customHeight="1" x14ac:dyDescent="0.25">
      <c r="A21" s="1165">
        <f>'Org structure'!E18</f>
        <v>0</v>
      </c>
      <c r="B21" s="1041"/>
      <c r="C21" s="1621"/>
      <c r="D21" s="1621"/>
      <c r="E21" s="1622"/>
      <c r="F21" s="1623"/>
      <c r="G21" s="1621"/>
      <c r="H21" s="1624"/>
      <c r="I21" s="1625"/>
      <c r="J21" s="1621"/>
      <c r="K21" s="2674"/>
      <c r="L21" s="188"/>
      <c r="M21" s="189"/>
      <c r="N21" s="189"/>
      <c r="O21" s="189"/>
      <c r="P21" s="189"/>
      <c r="Q21" s="189"/>
      <c r="R21" s="189"/>
      <c r="S21" s="189"/>
      <c r="T21" s="189"/>
      <c r="U21" s="189"/>
      <c r="V21" s="189"/>
      <c r="W21" s="189"/>
    </row>
    <row r="22" spans="1:23" ht="11.25" customHeight="1" x14ac:dyDescent="0.25">
      <c r="A22" s="1165">
        <f>'Org structure'!E19</f>
        <v>0</v>
      </c>
      <c r="B22" s="1041"/>
      <c r="C22" s="1621"/>
      <c r="D22" s="1621"/>
      <c r="E22" s="1622"/>
      <c r="F22" s="1623"/>
      <c r="G22" s="1621"/>
      <c r="H22" s="1624"/>
      <c r="I22" s="1625"/>
      <c r="J22" s="1621"/>
      <c r="K22" s="2674"/>
      <c r="L22" s="188"/>
      <c r="M22" s="189"/>
      <c r="N22" s="189"/>
      <c r="O22" s="189"/>
      <c r="P22" s="189"/>
      <c r="Q22" s="189"/>
      <c r="R22" s="189"/>
      <c r="S22" s="189"/>
      <c r="T22" s="189"/>
      <c r="U22" s="189"/>
      <c r="V22" s="189"/>
      <c r="W22" s="189"/>
    </row>
    <row r="23" spans="1:23" ht="11.25" customHeight="1" x14ac:dyDescent="0.25">
      <c r="A23" s="1165">
        <f>'Org structure'!E20</f>
        <v>0</v>
      </c>
      <c r="B23" s="1041"/>
      <c r="C23" s="1621"/>
      <c r="D23" s="1621"/>
      <c r="E23" s="1622"/>
      <c r="F23" s="1623"/>
      <c r="G23" s="1621"/>
      <c r="H23" s="1624"/>
      <c r="I23" s="1625"/>
      <c r="J23" s="1621"/>
      <c r="K23" s="2674"/>
      <c r="L23" s="188"/>
      <c r="M23" s="189"/>
      <c r="N23" s="189"/>
      <c r="O23" s="189"/>
      <c r="P23" s="189"/>
      <c r="Q23" s="189"/>
      <c r="R23" s="189"/>
      <c r="S23" s="189"/>
      <c r="T23" s="189"/>
      <c r="U23" s="189"/>
      <c r="V23" s="189"/>
      <c r="W23" s="189"/>
    </row>
    <row r="24" spans="1:23" ht="11.25" customHeight="1" x14ac:dyDescent="0.25">
      <c r="A24" s="1165">
        <f>'Org structure'!E21</f>
        <v>0</v>
      </c>
      <c r="B24" s="1041"/>
      <c r="C24" s="1621"/>
      <c r="D24" s="1621"/>
      <c r="E24" s="1622"/>
      <c r="F24" s="1623"/>
      <c r="G24" s="1621"/>
      <c r="H24" s="1624"/>
      <c r="I24" s="1625"/>
      <c r="J24" s="1621"/>
      <c r="K24" s="2674"/>
      <c r="L24" s="188"/>
      <c r="M24" s="189"/>
      <c r="N24" s="189"/>
      <c r="O24" s="189"/>
      <c r="P24" s="189"/>
      <c r="Q24" s="189"/>
      <c r="R24" s="189"/>
      <c r="S24" s="189"/>
      <c r="T24" s="189"/>
      <c r="U24" s="189"/>
      <c r="V24" s="189"/>
      <c r="W24" s="189"/>
    </row>
    <row r="25" spans="1:23" ht="11.25" customHeight="1" x14ac:dyDescent="0.25">
      <c r="A25" s="1165">
        <f>'Org structure'!E22</f>
        <v>0</v>
      </c>
      <c r="B25" s="1041"/>
      <c r="C25" s="1621"/>
      <c r="D25" s="1621"/>
      <c r="E25" s="1622"/>
      <c r="F25" s="1623"/>
      <c r="G25" s="1621"/>
      <c r="H25" s="1624"/>
      <c r="I25" s="1625"/>
      <c r="J25" s="1621"/>
      <c r="K25" s="2674"/>
      <c r="L25" s="188"/>
      <c r="M25" s="189"/>
      <c r="N25" s="189"/>
      <c r="O25" s="189"/>
      <c r="P25" s="189"/>
      <c r="Q25" s="189"/>
      <c r="R25" s="189"/>
      <c r="S25" s="189"/>
      <c r="T25" s="189"/>
      <c r="U25" s="189"/>
      <c r="V25" s="189"/>
      <c r="W25" s="189"/>
    </row>
    <row r="26" spans="1:23" ht="11.25" customHeight="1" x14ac:dyDescent="0.25">
      <c r="A26" s="1165">
        <f>'Org structure'!E23</f>
        <v>0</v>
      </c>
      <c r="B26" s="1041"/>
      <c r="C26" s="1621"/>
      <c r="D26" s="1621"/>
      <c r="E26" s="1622"/>
      <c r="F26" s="1623"/>
      <c r="G26" s="1621"/>
      <c r="H26" s="1624"/>
      <c r="I26" s="1625"/>
      <c r="J26" s="1621"/>
      <c r="K26" s="2674"/>
      <c r="L26" s="188"/>
      <c r="M26" s="189"/>
      <c r="N26" s="189"/>
      <c r="O26" s="189"/>
      <c r="P26" s="189"/>
      <c r="Q26" s="189"/>
      <c r="R26" s="189"/>
      <c r="S26" s="189"/>
      <c r="T26" s="189"/>
      <c r="U26" s="189"/>
      <c r="V26" s="189"/>
      <c r="W26" s="189"/>
    </row>
    <row r="27" spans="1:23" ht="15" customHeight="1" x14ac:dyDescent="0.25">
      <c r="A27" s="1164" t="str">
        <f>'Org structure'!A4</f>
        <v>Vote 3 - 103 PLANNING and DEVELOPMENT</v>
      </c>
      <c r="B27" s="1053"/>
      <c r="C27" s="971">
        <f t="shared" ref="C27:K27" si="2">SUM(C28:C37)</f>
        <v>0</v>
      </c>
      <c r="D27" s="971">
        <f t="shared" si="2"/>
        <v>0</v>
      </c>
      <c r="E27" s="972">
        <f t="shared" si="2"/>
        <v>0</v>
      </c>
      <c r="F27" s="973">
        <f t="shared" si="2"/>
        <v>0</v>
      </c>
      <c r="G27" s="971">
        <f t="shared" si="2"/>
        <v>0</v>
      </c>
      <c r="H27" s="974">
        <f t="shared" si="2"/>
        <v>0</v>
      </c>
      <c r="I27" s="975">
        <f t="shared" si="2"/>
        <v>0</v>
      </c>
      <c r="J27" s="971">
        <f t="shared" si="2"/>
        <v>0</v>
      </c>
      <c r="K27" s="2673">
        <f t="shared" si="2"/>
        <v>0</v>
      </c>
      <c r="L27" s="188"/>
      <c r="M27" s="189"/>
      <c r="N27" s="189"/>
      <c r="O27" s="189"/>
      <c r="P27" s="189"/>
      <c r="Q27" s="189"/>
      <c r="R27" s="189"/>
      <c r="S27" s="189"/>
      <c r="T27" s="189"/>
      <c r="U27" s="189"/>
      <c r="V27" s="189"/>
      <c r="W27" s="189"/>
    </row>
    <row r="28" spans="1:23" ht="11.25" customHeight="1" x14ac:dyDescent="0.25">
      <c r="A28" s="1165" t="str">
        <f>'Org structure'!E25</f>
        <v>3.1 - [Name of sub-vote]</v>
      </c>
      <c r="B28" s="1041"/>
      <c r="C28" s="1621"/>
      <c r="D28" s="1621"/>
      <c r="E28" s="1622"/>
      <c r="F28" s="1623"/>
      <c r="G28" s="1621"/>
      <c r="H28" s="1626"/>
      <c r="I28" s="1625"/>
      <c r="J28" s="1621"/>
      <c r="K28" s="2674"/>
      <c r="L28" s="188"/>
      <c r="M28" s="189"/>
      <c r="N28" s="189"/>
      <c r="O28" s="189"/>
      <c r="P28" s="189"/>
      <c r="Q28" s="189"/>
      <c r="R28" s="189"/>
      <c r="S28" s="189"/>
      <c r="T28" s="189"/>
      <c r="U28" s="189"/>
      <c r="V28" s="189"/>
      <c r="W28" s="189"/>
    </row>
    <row r="29" spans="1:23" ht="11.25" customHeight="1" x14ac:dyDescent="0.25">
      <c r="A29" s="1165">
        <f>'Org structure'!E26</f>
        <v>0</v>
      </c>
      <c r="B29" s="1041"/>
      <c r="C29" s="1621"/>
      <c r="D29" s="1621"/>
      <c r="E29" s="1622"/>
      <c r="F29" s="1623"/>
      <c r="G29" s="1621"/>
      <c r="H29" s="1624"/>
      <c r="I29" s="1625"/>
      <c r="J29" s="1621"/>
      <c r="K29" s="2674"/>
      <c r="L29" s="188"/>
      <c r="M29" s="189"/>
      <c r="N29" s="189"/>
      <c r="O29" s="189"/>
      <c r="P29" s="189"/>
      <c r="Q29" s="189"/>
      <c r="R29" s="189"/>
      <c r="S29" s="189"/>
      <c r="T29" s="189"/>
      <c r="U29" s="189"/>
      <c r="V29" s="189"/>
      <c r="W29" s="189"/>
    </row>
    <row r="30" spans="1:23" ht="11.25" customHeight="1" x14ac:dyDescent="0.25">
      <c r="A30" s="1165">
        <f>'Org structure'!E27</f>
        <v>0</v>
      </c>
      <c r="B30" s="1041"/>
      <c r="C30" s="1621"/>
      <c r="D30" s="1621"/>
      <c r="E30" s="1622"/>
      <c r="F30" s="1623"/>
      <c r="G30" s="1621"/>
      <c r="H30" s="1624"/>
      <c r="I30" s="1625"/>
      <c r="J30" s="1621"/>
      <c r="K30" s="2674"/>
      <c r="L30" s="188"/>
      <c r="M30" s="189"/>
      <c r="N30" s="189"/>
      <c r="O30" s="189"/>
      <c r="P30" s="189"/>
      <c r="Q30" s="189"/>
      <c r="R30" s="189"/>
      <c r="S30" s="189"/>
      <c r="T30" s="189"/>
      <c r="U30" s="189"/>
      <c r="V30" s="189"/>
      <c r="W30" s="189"/>
    </row>
    <row r="31" spans="1:23" ht="11.25" customHeight="1" x14ac:dyDescent="0.25">
      <c r="A31" s="1165">
        <f>'Org structure'!E28</f>
        <v>0</v>
      </c>
      <c r="B31" s="1041"/>
      <c r="C31" s="1621"/>
      <c r="D31" s="1621"/>
      <c r="E31" s="1622"/>
      <c r="F31" s="1623"/>
      <c r="G31" s="1621"/>
      <c r="H31" s="1624"/>
      <c r="I31" s="1625"/>
      <c r="J31" s="1621"/>
      <c r="K31" s="2674"/>
      <c r="L31" s="188"/>
      <c r="M31" s="189"/>
      <c r="N31" s="189"/>
      <c r="O31" s="189"/>
      <c r="P31" s="189"/>
      <c r="Q31" s="189"/>
      <c r="R31" s="189"/>
      <c r="S31" s="189"/>
      <c r="T31" s="189"/>
      <c r="U31" s="189"/>
      <c r="V31" s="189"/>
      <c r="W31" s="189"/>
    </row>
    <row r="32" spans="1:23" ht="11.25" customHeight="1" x14ac:dyDescent="0.25">
      <c r="A32" s="1165">
        <f>'Org structure'!E29</f>
        <v>0</v>
      </c>
      <c r="B32" s="1041"/>
      <c r="C32" s="1621"/>
      <c r="D32" s="1621"/>
      <c r="E32" s="1622"/>
      <c r="F32" s="1623"/>
      <c r="G32" s="1621"/>
      <c r="H32" s="1624"/>
      <c r="I32" s="1625"/>
      <c r="J32" s="1621"/>
      <c r="K32" s="2674"/>
      <c r="L32" s="188"/>
      <c r="M32" s="189"/>
      <c r="N32" s="189"/>
      <c r="O32" s="189"/>
      <c r="P32" s="189"/>
      <c r="Q32" s="189"/>
      <c r="R32" s="189"/>
      <c r="S32" s="189"/>
      <c r="T32" s="189"/>
      <c r="U32" s="189"/>
      <c r="V32" s="189"/>
      <c r="W32" s="189"/>
    </row>
    <row r="33" spans="1:23" ht="11.25" customHeight="1" x14ac:dyDescent="0.25">
      <c r="A33" s="1165">
        <f>'Org structure'!E30</f>
        <v>0</v>
      </c>
      <c r="B33" s="1041"/>
      <c r="C33" s="1621"/>
      <c r="D33" s="1621"/>
      <c r="E33" s="1622"/>
      <c r="F33" s="1623"/>
      <c r="G33" s="1621"/>
      <c r="H33" s="1624"/>
      <c r="I33" s="1625"/>
      <c r="J33" s="1621"/>
      <c r="K33" s="2674"/>
      <c r="L33" s="188"/>
      <c r="M33" s="189"/>
      <c r="N33" s="189"/>
      <c r="O33" s="189"/>
      <c r="P33" s="189"/>
      <c r="Q33" s="189"/>
      <c r="R33" s="189"/>
      <c r="S33" s="189"/>
      <c r="T33" s="189"/>
      <c r="U33" s="189"/>
      <c r="V33" s="189"/>
      <c r="W33" s="189"/>
    </row>
    <row r="34" spans="1:23" ht="11.25" customHeight="1" x14ac:dyDescent="0.25">
      <c r="A34" s="1165">
        <f>'Org structure'!E31</f>
        <v>0</v>
      </c>
      <c r="B34" s="1041"/>
      <c r="C34" s="1621"/>
      <c r="D34" s="1621"/>
      <c r="E34" s="1622"/>
      <c r="F34" s="1623"/>
      <c r="G34" s="1621"/>
      <c r="H34" s="1624"/>
      <c r="I34" s="1625"/>
      <c r="J34" s="1621"/>
      <c r="K34" s="2674"/>
      <c r="L34" s="188"/>
      <c r="M34" s="189"/>
      <c r="N34" s="189"/>
      <c r="O34" s="189"/>
      <c r="P34" s="189"/>
      <c r="Q34" s="189"/>
      <c r="R34" s="189"/>
      <c r="S34" s="189"/>
      <c r="T34" s="189"/>
      <c r="U34" s="189"/>
      <c r="V34" s="189"/>
      <c r="W34" s="189"/>
    </row>
    <row r="35" spans="1:23" ht="11.25" customHeight="1" x14ac:dyDescent="0.25">
      <c r="A35" s="1165">
        <f>'Org structure'!E32</f>
        <v>0</v>
      </c>
      <c r="B35" s="1041"/>
      <c r="C35" s="1621"/>
      <c r="D35" s="1621"/>
      <c r="E35" s="1622"/>
      <c r="F35" s="1623"/>
      <c r="G35" s="1621"/>
      <c r="H35" s="1624"/>
      <c r="I35" s="1625"/>
      <c r="J35" s="1621"/>
      <c r="K35" s="2674"/>
      <c r="L35" s="188"/>
      <c r="M35" s="189"/>
      <c r="N35" s="189"/>
      <c r="O35" s="189"/>
      <c r="P35" s="189"/>
      <c r="Q35" s="189"/>
      <c r="R35" s="189"/>
      <c r="S35" s="189"/>
      <c r="T35" s="189"/>
      <c r="U35" s="189"/>
      <c r="V35" s="189"/>
      <c r="W35" s="189"/>
    </row>
    <row r="36" spans="1:23" ht="11.25" customHeight="1" x14ac:dyDescent="0.25">
      <c r="A36" s="1165">
        <f>'Org structure'!E33</f>
        <v>0</v>
      </c>
      <c r="B36" s="1041"/>
      <c r="C36" s="1621"/>
      <c r="D36" s="1621"/>
      <c r="E36" s="1622"/>
      <c r="F36" s="1623"/>
      <c r="G36" s="1621"/>
      <c r="H36" s="1624"/>
      <c r="I36" s="1625"/>
      <c r="J36" s="1621"/>
      <c r="K36" s="2674"/>
      <c r="L36" s="188"/>
      <c r="M36" s="189"/>
      <c r="N36" s="189"/>
      <c r="O36" s="189"/>
      <c r="P36" s="189"/>
      <c r="Q36" s="189"/>
      <c r="R36" s="189"/>
      <c r="S36" s="189"/>
      <c r="T36" s="189"/>
      <c r="U36" s="189"/>
      <c r="V36" s="189"/>
      <c r="W36" s="189"/>
    </row>
    <row r="37" spans="1:23" ht="11.25" customHeight="1" x14ac:dyDescent="0.25">
      <c r="A37" s="1165">
        <f>'Org structure'!E34</f>
        <v>0</v>
      </c>
      <c r="B37" s="1041"/>
      <c r="C37" s="1621"/>
      <c r="D37" s="1621"/>
      <c r="E37" s="1622"/>
      <c r="F37" s="1623"/>
      <c r="G37" s="1621"/>
      <c r="H37" s="1624"/>
      <c r="I37" s="1625"/>
      <c r="J37" s="1621"/>
      <c r="K37" s="2674"/>
      <c r="L37" s="188"/>
      <c r="M37" s="189"/>
      <c r="N37" s="189"/>
      <c r="O37" s="189"/>
      <c r="P37" s="189"/>
      <c r="Q37" s="189"/>
      <c r="R37" s="189"/>
      <c r="S37" s="189"/>
      <c r="T37" s="189"/>
      <c r="U37" s="189"/>
      <c r="V37" s="189"/>
      <c r="W37" s="189"/>
    </row>
    <row r="38" spans="1:23" ht="15" customHeight="1" x14ac:dyDescent="0.25">
      <c r="A38" s="1164" t="str">
        <f>'Org structure'!A5</f>
        <v>Vote 4 - 104 FINANCE</v>
      </c>
      <c r="B38" s="1053"/>
      <c r="C38" s="971">
        <f t="shared" ref="C38:K38" si="3">SUM(C39:C59)</f>
        <v>0</v>
      </c>
      <c r="D38" s="971">
        <f t="shared" si="3"/>
        <v>273663600</v>
      </c>
      <c r="E38" s="972">
        <f t="shared" si="3"/>
        <v>338986598</v>
      </c>
      <c r="F38" s="973">
        <f t="shared" si="3"/>
        <v>290860299.35799998</v>
      </c>
      <c r="G38" s="971">
        <f t="shared" si="3"/>
        <v>308811169.61800003</v>
      </c>
      <c r="H38" s="974">
        <f t="shared" si="3"/>
        <v>308811169.61800003</v>
      </c>
      <c r="I38" s="975">
        <f t="shared" si="3"/>
        <v>381745233.52999997</v>
      </c>
      <c r="J38" s="971">
        <f t="shared" si="3"/>
        <v>404268202.30826998</v>
      </c>
      <c r="K38" s="971">
        <f t="shared" si="3"/>
        <v>426907221.63753319</v>
      </c>
      <c r="L38" s="188"/>
      <c r="M38" s="189"/>
      <c r="N38" s="189"/>
      <c r="O38" s="189"/>
      <c r="P38" s="189"/>
      <c r="Q38" s="189"/>
      <c r="R38" s="189"/>
      <c r="S38" s="189"/>
      <c r="T38" s="189"/>
      <c r="U38" s="189"/>
      <c r="V38" s="189"/>
      <c r="W38" s="189"/>
    </row>
    <row r="39" spans="1:23" ht="11.25" customHeight="1" x14ac:dyDescent="0.25">
      <c r="A39" s="1165" t="s">
        <v>2317</v>
      </c>
      <c r="B39" s="1041"/>
      <c r="C39" s="1623">
        <v>0</v>
      </c>
      <c r="D39" s="1625">
        <v>4791658</v>
      </c>
      <c r="E39" s="1625">
        <v>13186995.32</v>
      </c>
      <c r="F39" s="1625">
        <v>6656524.6680000005</v>
      </c>
      <c r="G39" s="1621">
        <v>22086220.908</v>
      </c>
      <c r="H39" s="1621">
        <f>G39</f>
        <v>22086220.908</v>
      </c>
      <c r="I39" s="1625">
        <v>57411199.609999999</v>
      </c>
      <c r="J39" s="1621">
        <v>60798460.386989996</v>
      </c>
      <c r="K39" s="1621">
        <v>64203174.168661438</v>
      </c>
      <c r="L39" s="188"/>
      <c r="M39" s="189"/>
      <c r="N39" s="189"/>
      <c r="O39" s="189"/>
      <c r="P39" s="189"/>
      <c r="Q39" s="189"/>
      <c r="R39" s="189"/>
      <c r="S39" s="189"/>
      <c r="T39" s="189"/>
      <c r="U39" s="189"/>
      <c r="V39" s="189"/>
      <c r="W39" s="189"/>
    </row>
    <row r="40" spans="1:23" ht="11.25" customHeight="1" x14ac:dyDescent="0.25">
      <c r="A40" s="1165" t="s">
        <v>2318</v>
      </c>
      <c r="B40" s="1041"/>
      <c r="C40" s="1623">
        <v>0</v>
      </c>
      <c r="D40" s="1625">
        <v>0</v>
      </c>
      <c r="E40" s="1625">
        <v>0</v>
      </c>
      <c r="F40" s="1625"/>
      <c r="G40" s="1621">
        <v>0</v>
      </c>
      <c r="H40" s="1621">
        <f>G40</f>
        <v>0</v>
      </c>
      <c r="I40" s="1625">
        <v>0</v>
      </c>
      <c r="J40" s="1621">
        <f t="shared" ref="J40:J58" si="4">I40*1.059</f>
        <v>0</v>
      </c>
      <c r="K40" s="1621">
        <f t="shared" ref="K40:K58" si="5">J40*1.056</f>
        <v>0</v>
      </c>
      <c r="L40" s="188"/>
      <c r="M40" s="189"/>
      <c r="N40" s="189"/>
      <c r="O40" s="189"/>
      <c r="P40" s="189"/>
      <c r="Q40" s="189"/>
      <c r="R40" s="189"/>
      <c r="S40" s="189"/>
      <c r="T40" s="189"/>
      <c r="U40" s="189"/>
      <c r="V40" s="189"/>
      <c r="W40" s="189"/>
    </row>
    <row r="41" spans="1:23" ht="11.25" customHeight="1" x14ac:dyDescent="0.25">
      <c r="A41" s="1165" t="s">
        <v>2319</v>
      </c>
      <c r="B41" s="1041"/>
      <c r="C41" s="1623">
        <v>0</v>
      </c>
      <c r="D41" s="1625">
        <v>2417997</v>
      </c>
      <c r="E41" s="1625">
        <v>1241912.3500000001</v>
      </c>
      <c r="F41" s="1625">
        <v>0</v>
      </c>
      <c r="G41" s="1621">
        <v>449999.99</v>
      </c>
      <c r="H41" s="1621">
        <f t="shared" ref="H41:H56" si="6">G41</f>
        <v>449999.99</v>
      </c>
      <c r="I41" s="1625">
        <v>968986.65</v>
      </c>
      <c r="J41" s="1621">
        <v>1026156.86235</v>
      </c>
      <c r="K41" s="1621">
        <v>1083621.6466415999</v>
      </c>
      <c r="L41" s="188"/>
      <c r="M41" s="189"/>
      <c r="N41" s="189"/>
      <c r="O41" s="189"/>
      <c r="P41" s="189"/>
      <c r="Q41" s="189"/>
      <c r="R41" s="189"/>
      <c r="S41" s="189"/>
      <c r="T41" s="189"/>
      <c r="U41" s="189"/>
      <c r="V41" s="189"/>
      <c r="W41" s="189"/>
    </row>
    <row r="42" spans="1:23" ht="11.25" customHeight="1" x14ac:dyDescent="0.25">
      <c r="A42" s="1165" t="s">
        <v>2320</v>
      </c>
      <c r="B42" s="1041"/>
      <c r="C42" s="1623">
        <v>0</v>
      </c>
      <c r="D42" s="1625">
        <v>2037735</v>
      </c>
      <c r="E42" s="1625">
        <v>1394645.28</v>
      </c>
      <c r="F42" s="1625">
        <v>500000</v>
      </c>
      <c r="G42" s="1621">
        <v>1004904</v>
      </c>
      <c r="H42" s="1621">
        <f t="shared" si="6"/>
        <v>1004904</v>
      </c>
      <c r="I42" s="1625">
        <v>1500000</v>
      </c>
      <c r="J42" s="1621">
        <v>1588500</v>
      </c>
      <c r="K42" s="1621">
        <v>1677456</v>
      </c>
      <c r="L42" s="188"/>
      <c r="M42" s="189"/>
      <c r="N42" s="189"/>
      <c r="O42" s="189"/>
      <c r="P42" s="189"/>
      <c r="Q42" s="189"/>
      <c r="R42" s="189"/>
      <c r="S42" s="189"/>
      <c r="T42" s="189"/>
      <c r="U42" s="189"/>
      <c r="V42" s="189"/>
      <c r="W42" s="189"/>
    </row>
    <row r="43" spans="1:23" ht="11.25" customHeight="1" x14ac:dyDescent="0.25">
      <c r="A43" s="1165" t="s">
        <v>2321</v>
      </c>
      <c r="B43" s="1041"/>
      <c r="C43" s="1623">
        <v>0</v>
      </c>
      <c r="D43" s="1625">
        <v>12234171</v>
      </c>
      <c r="E43" s="1625">
        <v>20426233.34</v>
      </c>
      <c r="F43" s="1625">
        <v>21240000</v>
      </c>
      <c r="G43" s="1621">
        <v>23368672.719999999</v>
      </c>
      <c r="H43" s="1621">
        <f t="shared" si="6"/>
        <v>23368672.719999999</v>
      </c>
      <c r="I43" s="1625">
        <v>24476555</v>
      </c>
      <c r="J43" s="1621">
        <v>25920671.744999997</v>
      </c>
      <c r="K43" s="1621">
        <v>27372229.362719998</v>
      </c>
      <c r="L43" s="188"/>
      <c r="M43" s="189"/>
      <c r="N43" s="189"/>
      <c r="O43" s="189"/>
      <c r="P43" s="189"/>
      <c r="Q43" s="189"/>
      <c r="R43" s="189"/>
      <c r="S43" s="189"/>
      <c r="T43" s="189"/>
      <c r="U43" s="189"/>
      <c r="V43" s="189"/>
      <c r="W43" s="189"/>
    </row>
    <row r="44" spans="1:23" ht="11.25" customHeight="1" x14ac:dyDescent="0.25">
      <c r="A44" s="1165" t="s">
        <v>2322</v>
      </c>
      <c r="B44" s="1041"/>
      <c r="C44" s="1623">
        <v>0</v>
      </c>
      <c r="D44" s="1625">
        <v>0</v>
      </c>
      <c r="E44" s="1625">
        <v>0</v>
      </c>
      <c r="F44" s="1625"/>
      <c r="G44" s="1621">
        <v>0</v>
      </c>
      <c r="H44" s="1621">
        <f t="shared" si="6"/>
        <v>0</v>
      </c>
      <c r="I44" s="1625">
        <v>0</v>
      </c>
      <c r="J44" s="1621">
        <f t="shared" si="4"/>
        <v>0</v>
      </c>
      <c r="K44" s="1621">
        <f t="shared" si="5"/>
        <v>0</v>
      </c>
      <c r="L44" s="188"/>
      <c r="M44" s="189"/>
      <c r="N44" s="189"/>
      <c r="O44" s="189"/>
      <c r="P44" s="189"/>
      <c r="Q44" s="189"/>
      <c r="R44" s="189"/>
      <c r="S44" s="189"/>
      <c r="T44" s="189"/>
      <c r="U44" s="189"/>
      <c r="V44" s="189"/>
      <c r="W44" s="189"/>
    </row>
    <row r="45" spans="1:23" ht="11.25" customHeight="1" x14ac:dyDescent="0.25">
      <c r="A45" s="1165" t="s">
        <v>2323</v>
      </c>
      <c r="B45" s="1041"/>
      <c r="C45" s="1623">
        <v>0</v>
      </c>
      <c r="D45" s="1625">
        <v>800000</v>
      </c>
      <c r="E45" s="1625">
        <v>890000</v>
      </c>
      <c r="F45" s="1625">
        <v>934000</v>
      </c>
      <c r="G45" s="1621">
        <v>934000</v>
      </c>
      <c r="H45" s="1621">
        <f t="shared" si="6"/>
        <v>934000</v>
      </c>
      <c r="I45" s="1625">
        <v>930000</v>
      </c>
      <c r="J45" s="1621">
        <f t="shared" si="4"/>
        <v>984870</v>
      </c>
      <c r="K45" s="1621">
        <f t="shared" si="5"/>
        <v>1040022.7200000001</v>
      </c>
      <c r="L45" s="188"/>
      <c r="M45" s="189"/>
      <c r="N45" s="189"/>
      <c r="O45" s="189"/>
      <c r="P45" s="189"/>
      <c r="Q45" s="189"/>
      <c r="R45" s="189"/>
      <c r="S45" s="189"/>
      <c r="T45" s="189"/>
      <c r="U45" s="189"/>
      <c r="V45" s="189"/>
      <c r="W45" s="189"/>
    </row>
    <row r="46" spans="1:23" ht="11.25" customHeight="1" x14ac:dyDescent="0.25">
      <c r="A46" s="1165" t="s">
        <v>2324</v>
      </c>
      <c r="B46" s="1041"/>
      <c r="C46" s="1623">
        <v>0</v>
      </c>
      <c r="D46" s="1625">
        <v>1250000</v>
      </c>
      <c r="E46" s="1625">
        <v>1550000</v>
      </c>
      <c r="F46" s="1625">
        <v>1600000</v>
      </c>
      <c r="G46" s="1621">
        <v>1600000</v>
      </c>
      <c r="H46" s="1621">
        <f t="shared" si="6"/>
        <v>1600000</v>
      </c>
      <c r="I46" s="1625">
        <v>1600000</v>
      </c>
      <c r="J46" s="1621">
        <f t="shared" si="4"/>
        <v>1694400</v>
      </c>
      <c r="K46" s="1621">
        <f t="shared" si="5"/>
        <v>1789286.4000000001</v>
      </c>
      <c r="L46" s="188"/>
      <c r="M46" s="189"/>
      <c r="N46" s="189"/>
      <c r="O46" s="189"/>
      <c r="P46" s="189"/>
      <c r="Q46" s="189"/>
      <c r="R46" s="189"/>
      <c r="S46" s="189"/>
      <c r="T46" s="189"/>
      <c r="U46" s="189"/>
      <c r="V46" s="189"/>
      <c r="W46" s="189"/>
    </row>
    <row r="47" spans="1:23" ht="11.25" customHeight="1" x14ac:dyDescent="0.25">
      <c r="A47" s="1165" t="s">
        <v>2325</v>
      </c>
      <c r="B47" s="1041"/>
      <c r="C47" s="1623">
        <v>0</v>
      </c>
      <c r="D47" s="1625">
        <v>218428000</v>
      </c>
      <c r="E47" s="1625">
        <v>237008000</v>
      </c>
      <c r="F47" s="1625">
        <v>259924000</v>
      </c>
      <c r="G47" s="1621">
        <v>259164000</v>
      </c>
      <c r="H47" s="1621">
        <f t="shared" si="6"/>
        <v>259164000</v>
      </c>
      <c r="I47" s="1625">
        <v>288644000</v>
      </c>
      <c r="J47" s="1621">
        <f t="shared" si="4"/>
        <v>305673996</v>
      </c>
      <c r="K47" s="1621">
        <f t="shared" si="5"/>
        <v>322791739.77600002</v>
      </c>
      <c r="L47" s="188"/>
      <c r="M47" s="189"/>
      <c r="N47" s="189"/>
      <c r="O47" s="189"/>
      <c r="P47" s="189"/>
      <c r="Q47" s="189"/>
      <c r="R47" s="189"/>
      <c r="S47" s="189"/>
      <c r="T47" s="189"/>
      <c r="U47" s="189"/>
      <c r="V47" s="189"/>
      <c r="W47" s="189"/>
    </row>
    <row r="48" spans="1:23" ht="11.25" customHeight="1" x14ac:dyDescent="0.25">
      <c r="A48" s="1165" t="s">
        <v>2326</v>
      </c>
      <c r="B48" s="1041"/>
      <c r="C48" s="1623">
        <v>0</v>
      </c>
      <c r="D48" s="1625">
        <v>79536</v>
      </c>
      <c r="E48" s="1625">
        <f>2768836.62+160.36</f>
        <v>2768996.98</v>
      </c>
      <c r="F48" s="1625">
        <v>0</v>
      </c>
      <c r="G48" s="1621">
        <v>199126</v>
      </c>
      <c r="H48" s="1621">
        <f t="shared" si="6"/>
        <v>199126</v>
      </c>
      <c r="I48" s="1625">
        <v>10000</v>
      </c>
      <c r="J48" s="1621">
        <v>10590</v>
      </c>
      <c r="K48" s="1621">
        <v>11183.04</v>
      </c>
      <c r="L48" s="188"/>
      <c r="M48" s="189"/>
      <c r="N48" s="189"/>
      <c r="O48" s="189"/>
      <c r="P48" s="189"/>
      <c r="Q48" s="189"/>
      <c r="R48" s="189"/>
      <c r="S48" s="189"/>
      <c r="T48" s="189"/>
      <c r="U48" s="189"/>
      <c r="V48" s="189"/>
      <c r="W48" s="189"/>
    </row>
    <row r="49" spans="1:23" ht="11.25" customHeight="1" x14ac:dyDescent="0.25">
      <c r="A49" s="1165" t="s">
        <v>2327</v>
      </c>
      <c r="B49" s="1041"/>
      <c r="C49" s="1623">
        <v>0</v>
      </c>
      <c r="D49" s="1625">
        <v>3292</v>
      </c>
      <c r="E49" s="1625">
        <v>254907.27</v>
      </c>
      <c r="F49" s="1625">
        <v>5774.69</v>
      </c>
      <c r="G49" s="1621">
        <v>4246</v>
      </c>
      <c r="H49" s="1621">
        <f t="shared" si="6"/>
        <v>4246</v>
      </c>
      <c r="I49" s="1625">
        <v>4492.2700000000004</v>
      </c>
      <c r="J49" s="1621">
        <v>4757.3139300000003</v>
      </c>
      <c r="K49" s="1621">
        <v>5023.7235100800008</v>
      </c>
      <c r="L49" s="188"/>
      <c r="M49" s="189"/>
      <c r="N49" s="189"/>
      <c r="O49" s="189"/>
      <c r="P49" s="189"/>
      <c r="Q49" s="189"/>
      <c r="R49" s="189"/>
      <c r="S49" s="189"/>
      <c r="T49" s="189"/>
      <c r="U49" s="189"/>
      <c r="V49" s="189"/>
      <c r="W49" s="189"/>
    </row>
    <row r="50" spans="1:23" ht="11.25" customHeight="1" x14ac:dyDescent="0.25">
      <c r="A50" s="1165" t="s">
        <v>2328</v>
      </c>
      <c r="B50" s="1041"/>
      <c r="C50" s="1623">
        <v>0</v>
      </c>
      <c r="D50" s="1625">
        <v>38381</v>
      </c>
      <c r="E50" s="1625">
        <v>0</v>
      </c>
      <c r="F50" s="1625">
        <v>0</v>
      </c>
      <c r="G50" s="1621">
        <v>0</v>
      </c>
      <c r="H50" s="1621">
        <f t="shared" si="6"/>
        <v>0</v>
      </c>
      <c r="I50" s="1625">
        <v>0</v>
      </c>
      <c r="J50" s="1621">
        <f t="shared" si="4"/>
        <v>0</v>
      </c>
      <c r="K50" s="1621">
        <f t="shared" si="5"/>
        <v>0</v>
      </c>
      <c r="L50" s="188"/>
      <c r="M50" s="189"/>
      <c r="N50" s="189"/>
      <c r="O50" s="189"/>
      <c r="P50" s="189"/>
      <c r="Q50" s="189"/>
      <c r="R50" s="189"/>
      <c r="S50" s="189"/>
      <c r="T50" s="189"/>
      <c r="U50" s="189"/>
      <c r="V50" s="189"/>
      <c r="W50" s="189"/>
    </row>
    <row r="51" spans="1:23" ht="11.25" customHeight="1" x14ac:dyDescent="0.25">
      <c r="A51" s="1165" t="s">
        <v>2329</v>
      </c>
      <c r="B51" s="1041"/>
      <c r="C51" s="1623">
        <v>0</v>
      </c>
      <c r="D51" s="1625">
        <v>0</v>
      </c>
      <c r="E51" s="1625">
        <v>0</v>
      </c>
      <c r="F51" s="1625">
        <v>0</v>
      </c>
      <c r="G51" s="1621">
        <v>0</v>
      </c>
      <c r="H51" s="1621">
        <f t="shared" si="6"/>
        <v>0</v>
      </c>
      <c r="I51" s="1625">
        <v>0</v>
      </c>
      <c r="J51" s="1621">
        <f t="shared" si="4"/>
        <v>0</v>
      </c>
      <c r="K51" s="1621">
        <f t="shared" si="5"/>
        <v>0</v>
      </c>
      <c r="L51" s="188"/>
      <c r="M51" s="189"/>
      <c r="N51" s="189"/>
      <c r="O51" s="189"/>
      <c r="P51" s="189"/>
      <c r="Q51" s="189"/>
      <c r="R51" s="189"/>
      <c r="S51" s="189"/>
      <c r="T51" s="189"/>
      <c r="U51" s="189"/>
      <c r="V51" s="189"/>
      <c r="W51" s="189"/>
    </row>
    <row r="52" spans="1:23" ht="11.25" customHeight="1" x14ac:dyDescent="0.25">
      <c r="A52" s="1165" t="s">
        <v>2330</v>
      </c>
      <c r="B52" s="1041"/>
      <c r="C52" s="1623">
        <v>0</v>
      </c>
      <c r="D52" s="1625">
        <v>0</v>
      </c>
      <c r="E52" s="1625">
        <v>0</v>
      </c>
      <c r="F52" s="1625">
        <v>0</v>
      </c>
      <c r="G52" s="1621">
        <v>0</v>
      </c>
      <c r="H52" s="1621">
        <f t="shared" si="6"/>
        <v>0</v>
      </c>
      <c r="I52" s="1625">
        <v>0</v>
      </c>
      <c r="J52" s="1621">
        <f t="shared" si="4"/>
        <v>0</v>
      </c>
      <c r="K52" s="1621">
        <f t="shared" si="5"/>
        <v>0</v>
      </c>
      <c r="L52" s="188"/>
      <c r="M52" s="189"/>
      <c r="N52" s="189"/>
      <c r="O52" s="189"/>
      <c r="P52" s="189"/>
      <c r="Q52" s="189"/>
      <c r="R52" s="189"/>
      <c r="S52" s="189"/>
      <c r="T52" s="189"/>
      <c r="U52" s="189"/>
      <c r="V52" s="189"/>
      <c r="W52" s="189"/>
    </row>
    <row r="53" spans="1:23" ht="11.25" customHeight="1" x14ac:dyDescent="0.25">
      <c r="A53" s="1165" t="s">
        <v>2331</v>
      </c>
      <c r="B53" s="1041"/>
      <c r="C53" s="1623">
        <v>0</v>
      </c>
      <c r="D53" s="1625">
        <v>0</v>
      </c>
      <c r="E53" s="1625">
        <v>0</v>
      </c>
      <c r="F53" s="1625">
        <v>0</v>
      </c>
      <c r="G53" s="1621">
        <v>0</v>
      </c>
      <c r="H53" s="1621">
        <f t="shared" si="6"/>
        <v>0</v>
      </c>
      <c r="I53" s="1625">
        <v>0</v>
      </c>
      <c r="J53" s="1621">
        <f t="shared" si="4"/>
        <v>0</v>
      </c>
      <c r="K53" s="1621">
        <f t="shared" si="5"/>
        <v>0</v>
      </c>
      <c r="L53" s="188"/>
      <c r="M53" s="189"/>
      <c r="N53" s="189"/>
      <c r="O53" s="189"/>
      <c r="P53" s="189"/>
      <c r="Q53" s="189"/>
      <c r="R53" s="189"/>
      <c r="S53" s="189"/>
      <c r="T53" s="189"/>
      <c r="U53" s="189"/>
      <c r="V53" s="189"/>
      <c r="W53" s="189"/>
    </row>
    <row r="54" spans="1:23" ht="11.25" customHeight="1" x14ac:dyDescent="0.25">
      <c r="A54" s="1165" t="s">
        <v>2332</v>
      </c>
      <c r="B54" s="1041"/>
      <c r="C54" s="1623">
        <v>0</v>
      </c>
      <c r="D54" s="1625">
        <v>25032285</v>
      </c>
      <c r="E54" s="1625">
        <v>0</v>
      </c>
      <c r="F54" s="1625">
        <v>0</v>
      </c>
      <c r="G54" s="1621">
        <v>0</v>
      </c>
      <c r="H54" s="1621">
        <f t="shared" si="6"/>
        <v>0</v>
      </c>
      <c r="I54" s="1625">
        <v>0</v>
      </c>
      <c r="J54" s="1621">
        <f t="shared" si="4"/>
        <v>0</v>
      </c>
      <c r="K54" s="1621">
        <f t="shared" si="5"/>
        <v>0</v>
      </c>
      <c r="L54" s="188"/>
      <c r="M54" s="189"/>
      <c r="N54" s="189"/>
      <c r="O54" s="189"/>
      <c r="P54" s="189"/>
      <c r="Q54" s="189"/>
      <c r="R54" s="189"/>
      <c r="S54" s="189"/>
      <c r="T54" s="189"/>
      <c r="U54" s="189"/>
      <c r="V54" s="189"/>
      <c r="W54" s="189"/>
    </row>
    <row r="55" spans="1:23" ht="11.25" customHeight="1" x14ac:dyDescent="0.25">
      <c r="A55" s="1165" t="s">
        <v>2333</v>
      </c>
      <c r="B55" s="1041"/>
      <c r="C55" s="1623">
        <v>0</v>
      </c>
      <c r="D55" s="1625">
        <v>6550545</v>
      </c>
      <c r="E55" s="1625">
        <v>0</v>
      </c>
      <c r="F55" s="1625">
        <v>0</v>
      </c>
      <c r="G55" s="1621">
        <v>0</v>
      </c>
      <c r="H55" s="1621">
        <f t="shared" si="6"/>
        <v>0</v>
      </c>
      <c r="I55" s="1625">
        <v>6200000</v>
      </c>
      <c r="J55" s="1621">
        <v>6565800</v>
      </c>
      <c r="K55" s="1621">
        <v>6933484.8000000007</v>
      </c>
      <c r="L55" s="188"/>
      <c r="M55" s="189"/>
      <c r="N55" s="189"/>
      <c r="O55" s="189"/>
      <c r="P55" s="189"/>
      <c r="Q55" s="189"/>
      <c r="R55" s="189"/>
      <c r="S55" s="189"/>
      <c r="T55" s="189"/>
      <c r="U55" s="189"/>
      <c r="V55" s="189"/>
      <c r="W55" s="189"/>
    </row>
    <row r="56" spans="1:23" ht="11.25" customHeight="1" x14ac:dyDescent="0.25">
      <c r="A56" s="1165" t="s">
        <v>2334</v>
      </c>
      <c r="B56" s="1041"/>
      <c r="C56" s="1623">
        <v>0</v>
      </c>
      <c r="D56" s="1625">
        <v>0</v>
      </c>
      <c r="E56" s="1625">
        <v>0</v>
      </c>
      <c r="F56" s="1625">
        <v>0</v>
      </c>
      <c r="G56" s="1621">
        <v>0</v>
      </c>
      <c r="H56" s="1621">
        <f t="shared" si="6"/>
        <v>0</v>
      </c>
      <c r="I56" s="1625">
        <v>0</v>
      </c>
      <c r="J56" s="1621">
        <f t="shared" si="4"/>
        <v>0</v>
      </c>
      <c r="K56" s="1621">
        <f t="shared" si="5"/>
        <v>0</v>
      </c>
      <c r="L56" s="188"/>
      <c r="M56" s="189"/>
      <c r="N56" s="189"/>
      <c r="O56" s="189"/>
      <c r="P56" s="189"/>
      <c r="Q56" s="189"/>
      <c r="R56" s="189"/>
      <c r="S56" s="189"/>
      <c r="T56" s="189"/>
      <c r="U56" s="189"/>
      <c r="V56" s="189"/>
      <c r="W56" s="189"/>
    </row>
    <row r="57" spans="1:23" ht="11.25" customHeight="1" x14ac:dyDescent="0.25">
      <c r="A57" s="1165" t="s">
        <v>2612</v>
      </c>
      <c r="B57" s="1041"/>
      <c r="C57" s="1623">
        <v>0</v>
      </c>
      <c r="D57" s="2569"/>
      <c r="E57" s="1624">
        <v>60264907.460000001</v>
      </c>
      <c r="F57" s="1623"/>
      <c r="G57" s="1621"/>
      <c r="H57" s="1624"/>
      <c r="I57" s="1625"/>
      <c r="J57" s="1621">
        <f t="shared" si="4"/>
        <v>0</v>
      </c>
      <c r="K57" s="1621">
        <f t="shared" si="5"/>
        <v>0</v>
      </c>
      <c r="L57" s="188"/>
      <c r="M57" s="189"/>
      <c r="N57" s="189"/>
      <c r="O57" s="189"/>
      <c r="P57" s="189"/>
      <c r="Q57" s="189"/>
      <c r="R57" s="189"/>
      <c r="S57" s="189"/>
      <c r="T57" s="189"/>
      <c r="U57" s="189"/>
      <c r="V57" s="189"/>
      <c r="W57" s="189"/>
    </row>
    <row r="58" spans="1:23" ht="11.25" customHeight="1" x14ac:dyDescent="0.25">
      <c r="A58" s="1165">
        <f>'Org structure'!E44</f>
        <v>0</v>
      </c>
      <c r="B58" s="1041"/>
      <c r="C58" s="1623">
        <v>0</v>
      </c>
      <c r="D58" s="1621"/>
      <c r="E58" s="1622"/>
      <c r="F58" s="1623"/>
      <c r="G58" s="1621"/>
      <c r="H58" s="1624"/>
      <c r="I58" s="1625"/>
      <c r="J58" s="1621">
        <f t="shared" si="4"/>
        <v>0</v>
      </c>
      <c r="K58" s="1621">
        <f t="shared" si="5"/>
        <v>0</v>
      </c>
      <c r="L58" s="188"/>
      <c r="M58" s="189"/>
      <c r="N58" s="189"/>
      <c r="O58" s="189"/>
      <c r="P58" s="189"/>
      <c r="Q58" s="189"/>
      <c r="R58" s="189"/>
      <c r="S58" s="189"/>
      <c r="T58" s="189"/>
      <c r="U58" s="189"/>
      <c r="V58" s="189"/>
      <c r="W58" s="189"/>
    </row>
    <row r="59" spans="1:23" ht="11.25" customHeight="1" x14ac:dyDescent="0.25">
      <c r="A59" s="1165">
        <f>'Org structure'!E45</f>
        <v>0</v>
      </c>
      <c r="B59" s="1041"/>
      <c r="C59" s="1621"/>
      <c r="D59" s="1621"/>
      <c r="E59" s="1622"/>
      <c r="F59" s="1623"/>
      <c r="G59" s="1621"/>
      <c r="H59" s="1624"/>
      <c r="I59" s="1625"/>
      <c r="J59" s="1621"/>
      <c r="K59" s="2674"/>
      <c r="L59" s="188"/>
      <c r="M59" s="189"/>
      <c r="N59" s="189"/>
      <c r="O59" s="189"/>
      <c r="P59" s="189"/>
      <c r="Q59" s="189"/>
      <c r="R59" s="189"/>
      <c r="S59" s="189"/>
      <c r="T59" s="189"/>
      <c r="U59" s="189"/>
      <c r="V59" s="189"/>
      <c r="W59" s="189"/>
    </row>
    <row r="60" spans="1:23" ht="15" customHeight="1" x14ac:dyDescent="0.25">
      <c r="A60" s="1164" t="str">
        <f>'Org structure'!A6</f>
        <v>Vote 5 - 105 TECHNICAL SERVICES</v>
      </c>
      <c r="B60" s="1053"/>
      <c r="C60" s="971">
        <f t="shared" ref="C60:K60" si="7">SUM(C61:C68)</f>
        <v>0</v>
      </c>
      <c r="D60" s="971">
        <f t="shared" si="7"/>
        <v>137703821</v>
      </c>
      <c r="E60" s="972">
        <f t="shared" si="7"/>
        <v>88750381.450000003</v>
      </c>
      <c r="F60" s="973">
        <f t="shared" si="7"/>
        <v>116003074.3</v>
      </c>
      <c r="G60" s="971">
        <f t="shared" si="7"/>
        <v>115466912.36999999</v>
      </c>
      <c r="H60" s="974">
        <f t="shared" si="7"/>
        <v>115466912.36999999</v>
      </c>
      <c r="I60" s="975">
        <f t="shared" si="7"/>
        <v>119297042.98</v>
      </c>
      <c r="J60" s="971">
        <f t="shared" si="7"/>
        <v>126335568.51582</v>
      </c>
      <c r="K60" s="971">
        <f t="shared" si="7"/>
        <v>133410360.35270593</v>
      </c>
      <c r="L60" s="188"/>
      <c r="M60" s="189"/>
      <c r="N60" s="189"/>
      <c r="O60" s="189"/>
      <c r="P60" s="189"/>
      <c r="Q60" s="189"/>
      <c r="R60" s="189"/>
      <c r="S60" s="189"/>
      <c r="T60" s="189"/>
      <c r="U60" s="189"/>
      <c r="V60" s="189"/>
      <c r="W60" s="189"/>
    </row>
    <row r="61" spans="1:23" ht="11.25" customHeight="1" x14ac:dyDescent="0.25">
      <c r="A61" s="1165" t="s">
        <v>2335</v>
      </c>
      <c r="B61" s="1041"/>
      <c r="C61" s="1621">
        <v>0</v>
      </c>
      <c r="D61" s="1622">
        <v>108092000</v>
      </c>
      <c r="E61" s="1623">
        <v>88132019</v>
      </c>
      <c r="F61" s="1625">
        <v>115285000</v>
      </c>
      <c r="G61" s="1621">
        <f>F61</f>
        <v>115285000</v>
      </c>
      <c r="H61" s="1621">
        <f>G61</f>
        <v>115285000</v>
      </c>
      <c r="I61" s="1625">
        <v>119139000</v>
      </c>
      <c r="J61" s="1621">
        <f t="shared" ref="J61:J66" si="8">I61*1.059</f>
        <v>126168201</v>
      </c>
      <c r="K61" s="1621">
        <f t="shared" ref="K61:K66" si="9">J61*1.056</f>
        <v>133233620.25600001</v>
      </c>
      <c r="L61" s="188"/>
      <c r="M61" s="189"/>
      <c r="N61" s="189"/>
      <c r="O61" s="189"/>
      <c r="P61" s="189"/>
      <c r="Q61" s="189"/>
      <c r="R61" s="189"/>
      <c r="S61" s="189"/>
      <c r="T61" s="189"/>
      <c r="U61" s="189"/>
      <c r="V61" s="189"/>
      <c r="W61" s="189"/>
    </row>
    <row r="62" spans="1:23" ht="11.25" customHeight="1" x14ac:dyDescent="0.25">
      <c r="A62" s="1165" t="s">
        <v>2337</v>
      </c>
      <c r="B62" s="1041"/>
      <c r="C62" s="1621">
        <v>0</v>
      </c>
      <c r="D62" s="1622">
        <v>0</v>
      </c>
      <c r="E62" s="1623">
        <v>143669.76999999999</v>
      </c>
      <c r="F62" s="1625">
        <v>186166.02</v>
      </c>
      <c r="G62" s="1621">
        <f>F62+[4]B3B!$I$60</f>
        <v>21812</v>
      </c>
      <c r="H62" s="1621">
        <f>G62</f>
        <v>21812</v>
      </c>
      <c r="I62" s="1625">
        <v>0</v>
      </c>
      <c r="J62" s="1621">
        <f t="shared" si="8"/>
        <v>0</v>
      </c>
      <c r="K62" s="1621">
        <f t="shared" si="9"/>
        <v>0</v>
      </c>
      <c r="L62" s="188"/>
      <c r="M62" s="189"/>
      <c r="N62" s="189"/>
      <c r="O62" s="189"/>
      <c r="P62" s="189"/>
      <c r="Q62" s="189"/>
      <c r="R62" s="189"/>
      <c r="S62" s="189"/>
      <c r="T62" s="189"/>
      <c r="U62" s="189"/>
      <c r="V62" s="189"/>
      <c r="W62" s="189"/>
    </row>
    <row r="63" spans="1:23" ht="11.25" customHeight="1" x14ac:dyDescent="0.25">
      <c r="A63" s="1165" t="s">
        <v>2338</v>
      </c>
      <c r="B63" s="1041"/>
      <c r="C63" s="1621">
        <v>0</v>
      </c>
      <c r="D63" s="1622">
        <v>46730</v>
      </c>
      <c r="E63" s="1623">
        <v>7894.5</v>
      </c>
      <c r="F63" s="1625">
        <v>7629.4</v>
      </c>
      <c r="G63" s="1621">
        <f>F63+[4]B3B!$I$61</f>
        <v>10721.16</v>
      </c>
      <c r="H63" s="1621">
        <f>G63</f>
        <v>10721.16</v>
      </c>
      <c r="I63" s="1625">
        <v>0</v>
      </c>
      <c r="J63" s="1621">
        <f t="shared" si="8"/>
        <v>0</v>
      </c>
      <c r="K63" s="1621">
        <f t="shared" si="9"/>
        <v>0</v>
      </c>
      <c r="L63" s="188"/>
      <c r="M63" s="189"/>
      <c r="N63" s="189"/>
      <c r="O63" s="189"/>
      <c r="P63" s="189"/>
      <c r="Q63" s="189"/>
      <c r="R63" s="189"/>
      <c r="S63" s="189"/>
      <c r="T63" s="189"/>
      <c r="U63" s="189"/>
      <c r="V63" s="189"/>
      <c r="W63" s="189"/>
    </row>
    <row r="64" spans="1:23" ht="11.25" customHeight="1" x14ac:dyDescent="0.25">
      <c r="A64" s="1165" t="s">
        <v>2339</v>
      </c>
      <c r="B64" s="1041"/>
      <c r="C64" s="1621">
        <v>0</v>
      </c>
      <c r="D64" s="1622">
        <v>7087</v>
      </c>
      <c r="E64" s="1623">
        <v>466798.18</v>
      </c>
      <c r="F64" s="1625">
        <v>524278.88</v>
      </c>
      <c r="G64" s="1621">
        <f>F64+[4]B3B!$I$62</f>
        <v>149379.21000000002</v>
      </c>
      <c r="H64" s="1621">
        <f>G64</f>
        <v>149379.21000000002</v>
      </c>
      <c r="I64" s="1625">
        <v>158042.98000000001</v>
      </c>
      <c r="J64" s="1621">
        <f t="shared" si="8"/>
        <v>167367.51582</v>
      </c>
      <c r="K64" s="1621">
        <f t="shared" si="9"/>
        <v>176740.09670592</v>
      </c>
      <c r="L64" s="188"/>
      <c r="M64" s="189"/>
      <c r="N64" s="189"/>
      <c r="O64" s="189"/>
      <c r="P64" s="189"/>
      <c r="Q64" s="189"/>
      <c r="R64" s="189"/>
      <c r="S64" s="189"/>
      <c r="T64" s="189"/>
      <c r="U64" s="189"/>
      <c r="V64" s="189"/>
      <c r="W64" s="189"/>
    </row>
    <row r="65" spans="1:23" ht="11.25" customHeight="1" x14ac:dyDescent="0.25">
      <c r="A65" s="1165" t="s">
        <v>2340</v>
      </c>
      <c r="B65" s="1041"/>
      <c r="C65" s="1621">
        <v>0</v>
      </c>
      <c r="D65" s="1622">
        <v>689183</v>
      </c>
      <c r="E65" s="1623">
        <v>0</v>
      </c>
      <c r="F65" s="1625">
        <v>0</v>
      </c>
      <c r="G65" s="1621">
        <v>0</v>
      </c>
      <c r="H65" s="1621">
        <f>G65</f>
        <v>0</v>
      </c>
      <c r="I65" s="1625">
        <v>0</v>
      </c>
      <c r="J65" s="1621">
        <f t="shared" si="8"/>
        <v>0</v>
      </c>
      <c r="K65" s="1621">
        <f t="shared" si="9"/>
        <v>0</v>
      </c>
      <c r="L65" s="188"/>
      <c r="M65" s="189"/>
      <c r="N65" s="189"/>
      <c r="O65" s="189"/>
      <c r="P65" s="189"/>
      <c r="Q65" s="189"/>
      <c r="R65" s="189"/>
      <c r="S65" s="189"/>
      <c r="T65" s="189"/>
      <c r="U65" s="189"/>
      <c r="V65" s="189"/>
      <c r="W65" s="189"/>
    </row>
    <row r="66" spans="1:23" ht="11.25" customHeight="1" x14ac:dyDescent="0.25">
      <c r="A66" s="1165" t="s">
        <v>2341</v>
      </c>
      <c r="B66" s="1041"/>
      <c r="C66" s="1621">
        <v>0</v>
      </c>
      <c r="D66" s="1622">
        <v>28868821</v>
      </c>
      <c r="E66" s="1623">
        <v>0</v>
      </c>
      <c r="F66" s="1625">
        <v>0</v>
      </c>
      <c r="G66" s="1621">
        <v>0</v>
      </c>
      <c r="H66" s="1621">
        <f>G66</f>
        <v>0</v>
      </c>
      <c r="I66" s="1625">
        <v>0</v>
      </c>
      <c r="J66" s="1621">
        <f t="shared" si="8"/>
        <v>0</v>
      </c>
      <c r="K66" s="1621">
        <f t="shared" si="9"/>
        <v>0</v>
      </c>
      <c r="L66" s="188"/>
      <c r="M66" s="189"/>
      <c r="N66" s="189"/>
      <c r="O66" s="189"/>
      <c r="P66" s="189"/>
      <c r="Q66" s="189"/>
      <c r="R66" s="189"/>
      <c r="S66" s="189"/>
      <c r="T66" s="189"/>
      <c r="U66" s="189"/>
      <c r="V66" s="189"/>
      <c r="W66" s="189"/>
    </row>
    <row r="67" spans="1:23" ht="11.25" customHeight="1" x14ac:dyDescent="0.25">
      <c r="A67" s="1165">
        <f>'Org structure'!E55</f>
        <v>0</v>
      </c>
      <c r="B67" s="1041"/>
      <c r="C67" s="1621"/>
      <c r="D67" s="1621">
        <v>0</v>
      </c>
      <c r="E67" s="1622"/>
      <c r="F67" s="1623"/>
      <c r="G67" s="1621"/>
      <c r="H67" s="1624"/>
      <c r="I67" s="1625"/>
      <c r="J67" s="1621"/>
      <c r="K67" s="2674"/>
      <c r="L67" s="188"/>
      <c r="M67" s="189"/>
      <c r="N67" s="189"/>
      <c r="O67" s="189"/>
      <c r="P67" s="189"/>
      <c r="Q67" s="189"/>
      <c r="R67" s="189"/>
      <c r="S67" s="189"/>
      <c r="T67" s="189"/>
      <c r="U67" s="189"/>
      <c r="V67" s="189"/>
      <c r="W67" s="189"/>
    </row>
    <row r="68" spans="1:23" ht="11.25" customHeight="1" x14ac:dyDescent="0.25">
      <c r="A68" s="1165">
        <f>'Org structure'!E56</f>
        <v>0</v>
      </c>
      <c r="B68" s="1041"/>
      <c r="C68" s="1621"/>
      <c r="D68" s="1621"/>
      <c r="E68" s="1622"/>
      <c r="F68" s="1623"/>
      <c r="G68" s="1621"/>
      <c r="H68" s="1624"/>
      <c r="I68" s="1625"/>
      <c r="J68" s="1621"/>
      <c r="K68" s="2674"/>
      <c r="L68" s="188"/>
      <c r="M68" s="189"/>
      <c r="N68" s="189"/>
      <c r="O68" s="189"/>
      <c r="P68" s="189"/>
      <c r="Q68" s="189"/>
      <c r="R68" s="189"/>
      <c r="S68" s="189"/>
      <c r="T68" s="189"/>
      <c r="U68" s="189"/>
      <c r="V68" s="189"/>
      <c r="W68" s="189"/>
    </row>
    <row r="69" spans="1:23" ht="15.75" customHeight="1" x14ac:dyDescent="0.25">
      <c r="A69" s="1164" t="str">
        <f>'Org structure'!A7</f>
        <v>Vote 6 - 500 PMU</v>
      </c>
      <c r="B69" s="1053"/>
      <c r="C69" s="971">
        <f t="shared" ref="C69:K69" si="10">SUM(C70:C72)</f>
        <v>0</v>
      </c>
      <c r="D69" s="971">
        <f t="shared" si="10"/>
        <v>2863000</v>
      </c>
      <c r="E69" s="972">
        <f t="shared" si="10"/>
        <v>2842000</v>
      </c>
      <c r="F69" s="973">
        <f t="shared" si="10"/>
        <v>0</v>
      </c>
      <c r="G69" s="971">
        <f t="shared" si="10"/>
        <v>0</v>
      </c>
      <c r="H69" s="974">
        <f t="shared" si="10"/>
        <v>0</v>
      </c>
      <c r="I69" s="975">
        <f t="shared" si="10"/>
        <v>0</v>
      </c>
      <c r="J69" s="971">
        <f t="shared" si="10"/>
        <v>0</v>
      </c>
      <c r="K69" s="2673">
        <f t="shared" si="10"/>
        <v>0</v>
      </c>
      <c r="L69" s="188"/>
      <c r="M69" s="189"/>
      <c r="N69" s="189"/>
      <c r="O69" s="189"/>
      <c r="P69" s="189"/>
      <c r="Q69" s="189"/>
      <c r="R69" s="189"/>
      <c r="S69" s="189"/>
      <c r="T69" s="189"/>
      <c r="U69" s="189"/>
      <c r="V69" s="189"/>
      <c r="W69" s="189"/>
    </row>
    <row r="70" spans="1:23" ht="11.25" customHeight="1" x14ac:dyDescent="0.25">
      <c r="A70" s="1165" t="s">
        <v>2628</v>
      </c>
      <c r="B70" s="1041"/>
      <c r="C70" s="1621">
        <v>0</v>
      </c>
      <c r="D70" s="1621">
        <v>2863000</v>
      </c>
      <c r="E70" s="1622">
        <v>2842000</v>
      </c>
      <c r="F70" s="1623">
        <v>0</v>
      </c>
      <c r="G70" s="1621">
        <v>0</v>
      </c>
      <c r="H70" s="1624">
        <v>0</v>
      </c>
      <c r="I70" s="1625">
        <v>0</v>
      </c>
      <c r="J70" s="1621">
        <v>0</v>
      </c>
      <c r="K70" s="2674">
        <v>0</v>
      </c>
      <c r="L70" s="188"/>
      <c r="M70" s="189"/>
      <c r="N70" s="189"/>
      <c r="O70" s="189"/>
      <c r="P70" s="189"/>
      <c r="Q70" s="189"/>
      <c r="R70" s="189"/>
      <c r="S70" s="189"/>
      <c r="T70" s="189"/>
      <c r="U70" s="189"/>
      <c r="V70" s="189"/>
      <c r="W70" s="189"/>
    </row>
    <row r="71" spans="1:23" ht="11.25" customHeight="1" x14ac:dyDescent="0.25">
      <c r="A71" s="1165"/>
      <c r="B71" s="1041"/>
      <c r="C71" s="1621"/>
      <c r="D71" s="1622"/>
      <c r="E71" s="1623"/>
      <c r="F71" s="1625"/>
      <c r="G71" s="1621"/>
      <c r="H71" s="1624"/>
      <c r="I71" s="1625"/>
      <c r="J71" s="1621"/>
      <c r="K71" s="2674"/>
      <c r="L71" s="188"/>
      <c r="M71" s="189"/>
      <c r="N71" s="189"/>
      <c r="O71" s="189"/>
      <c r="P71" s="189"/>
      <c r="Q71" s="189"/>
      <c r="R71" s="189"/>
      <c r="S71" s="189"/>
      <c r="T71" s="189"/>
      <c r="U71" s="189"/>
      <c r="V71" s="189"/>
      <c r="W71" s="189"/>
    </row>
    <row r="72" spans="1:23" ht="11.25" customHeight="1" x14ac:dyDescent="0.25">
      <c r="A72" s="1165"/>
      <c r="B72" s="1041"/>
      <c r="C72" s="1621"/>
      <c r="D72" s="1621"/>
      <c r="E72" s="1622"/>
      <c r="F72" s="1623"/>
      <c r="G72" s="1621"/>
      <c r="H72" s="1624"/>
      <c r="I72" s="1625"/>
      <c r="J72" s="1621"/>
      <c r="K72" s="2674"/>
      <c r="L72" s="188"/>
      <c r="M72" s="189"/>
      <c r="N72" s="189"/>
      <c r="O72" s="189"/>
      <c r="P72" s="189"/>
      <c r="Q72" s="189"/>
      <c r="R72" s="189"/>
      <c r="S72" s="189"/>
      <c r="T72" s="189"/>
      <c r="U72" s="189"/>
      <c r="V72" s="189"/>
      <c r="W72" s="189"/>
    </row>
    <row r="73" spans="1:23" ht="11.25" customHeight="1" x14ac:dyDescent="0.25">
      <c r="A73" s="1165">
        <f>'Org structure'!E61</f>
        <v>0</v>
      </c>
      <c r="B73" s="1041"/>
      <c r="C73" s="1621"/>
      <c r="D73" s="1621"/>
      <c r="E73" s="1622"/>
      <c r="F73" s="1623"/>
      <c r="G73" s="1621"/>
      <c r="H73" s="1624"/>
      <c r="I73" s="1625"/>
      <c r="J73" s="1621"/>
      <c r="K73" s="2674"/>
      <c r="L73" s="188"/>
      <c r="M73" s="189"/>
      <c r="N73" s="189"/>
      <c r="O73" s="189"/>
      <c r="P73" s="189"/>
      <c r="Q73" s="189"/>
      <c r="R73" s="189"/>
      <c r="S73" s="189"/>
      <c r="T73" s="189"/>
      <c r="U73" s="189"/>
      <c r="V73" s="189"/>
      <c r="W73" s="189"/>
    </row>
    <row r="74" spans="1:23" ht="15" customHeight="1" x14ac:dyDescent="0.25">
      <c r="A74" s="1164" t="str">
        <f>'Org structure'!A8</f>
        <v>Vote 7 - 520 WASTE MANAGEMENT</v>
      </c>
      <c r="B74" s="1053"/>
      <c r="C74" s="971">
        <f t="shared" ref="C74:K74" si="11">SUM(C75:C80)</f>
        <v>3971000</v>
      </c>
      <c r="D74" s="971">
        <f t="shared" si="11"/>
        <v>4162580</v>
      </c>
      <c r="E74" s="972">
        <f t="shared" si="11"/>
        <v>17926462.57</v>
      </c>
      <c r="F74" s="973">
        <f t="shared" si="11"/>
        <v>6946169.3200000003</v>
      </c>
      <c r="G74" s="971">
        <f t="shared" si="11"/>
        <v>16067657.299999999</v>
      </c>
      <c r="H74" s="974">
        <f t="shared" si="11"/>
        <v>16067657.299999999</v>
      </c>
      <c r="I74" s="975">
        <f t="shared" si="11"/>
        <v>18841644.969999999</v>
      </c>
      <c r="J74" s="971">
        <f t="shared" si="11"/>
        <v>19953302.023230001</v>
      </c>
      <c r="K74" s="971">
        <f t="shared" si="11"/>
        <v>21070686.936530884</v>
      </c>
      <c r="L74" s="188"/>
      <c r="M74" s="189"/>
      <c r="N74" s="189"/>
      <c r="O74" s="189"/>
      <c r="P74" s="189"/>
      <c r="Q74" s="189"/>
      <c r="R74" s="189"/>
      <c r="S74" s="189"/>
      <c r="T74" s="189"/>
      <c r="U74" s="189"/>
      <c r="V74" s="189"/>
      <c r="W74" s="189"/>
    </row>
    <row r="75" spans="1:23" ht="11.25" customHeight="1" x14ac:dyDescent="0.25">
      <c r="A75" s="1165" t="s">
        <v>2342</v>
      </c>
      <c r="B75" s="1041"/>
      <c r="C75" s="1621">
        <v>3971000</v>
      </c>
      <c r="D75" s="1622">
        <v>4159344</v>
      </c>
      <c r="E75" s="1623">
        <v>17701329.57</v>
      </c>
      <c r="F75" s="1625">
        <v>3186000</v>
      </c>
      <c r="G75" s="1044">
        <f>F75+9123256.2</f>
        <v>12309256.199999999</v>
      </c>
      <c r="H75" s="1044">
        <f>G75</f>
        <v>12309256.199999999</v>
      </c>
      <c r="I75" s="1625">
        <f>12872515+968330.88+235693.44+492886.65+560611</f>
        <v>15130036.970000001</v>
      </c>
      <c r="J75" s="1621">
        <f>I75*1.059</f>
        <v>16022709.15123</v>
      </c>
      <c r="K75" s="1621">
        <f>J75*1.056</f>
        <v>16919980.863698881</v>
      </c>
      <c r="L75" s="188"/>
      <c r="M75" s="189"/>
      <c r="N75" s="189"/>
      <c r="O75" s="189"/>
      <c r="P75" s="189"/>
      <c r="Q75" s="189"/>
      <c r="R75" s="189"/>
      <c r="S75" s="189"/>
      <c r="T75" s="189"/>
      <c r="U75" s="189"/>
      <c r="V75" s="189"/>
      <c r="W75" s="189"/>
    </row>
    <row r="76" spans="1:23" ht="11.25" customHeight="1" x14ac:dyDescent="0.25">
      <c r="A76" s="1165" t="s">
        <v>2343</v>
      </c>
      <c r="B76" s="1041"/>
      <c r="C76" s="1621">
        <v>0</v>
      </c>
      <c r="D76" s="1622">
        <v>0</v>
      </c>
      <c r="E76" s="1623">
        <v>0</v>
      </c>
      <c r="F76" s="1625">
        <v>0</v>
      </c>
      <c r="G76" s="1621">
        <v>0</v>
      </c>
      <c r="H76" s="1044">
        <f>G76</f>
        <v>0</v>
      </c>
      <c r="I76" s="1625">
        <v>593126</v>
      </c>
      <c r="J76" s="1621">
        <v>628120.43400000001</v>
      </c>
      <c r="K76" s="1621">
        <v>663295.17830400006</v>
      </c>
      <c r="L76" s="188"/>
      <c r="M76" s="189"/>
      <c r="N76" s="189"/>
      <c r="O76" s="189"/>
      <c r="P76" s="189"/>
      <c r="Q76" s="189"/>
      <c r="R76" s="189"/>
      <c r="S76" s="189"/>
      <c r="T76" s="189"/>
      <c r="U76" s="189"/>
      <c r="V76" s="189"/>
      <c r="W76" s="189"/>
    </row>
    <row r="77" spans="1:23" ht="11.25" customHeight="1" x14ac:dyDescent="0.25">
      <c r="A77" s="1165" t="s">
        <v>2344</v>
      </c>
      <c r="B77" s="1041"/>
      <c r="C77" s="1621">
        <v>0</v>
      </c>
      <c r="D77" s="1622">
        <v>3236</v>
      </c>
      <c r="E77" s="1623">
        <v>225133</v>
      </c>
      <c r="F77" s="1625">
        <v>3169.32</v>
      </c>
      <c r="G77" s="1044">
        <f>F77+-1768.22</f>
        <v>1401.1000000000001</v>
      </c>
      <c r="H77" s="1044">
        <f>G77</f>
        <v>1401.1000000000001</v>
      </c>
      <c r="I77" s="1625">
        <v>1482</v>
      </c>
      <c r="J77" s="1621">
        <f>I77*1.059</f>
        <v>1569.4379999999999</v>
      </c>
      <c r="K77" s="1621">
        <f>J77*1.056</f>
        <v>1657.3265280000001</v>
      </c>
      <c r="L77" s="188"/>
      <c r="M77" s="189"/>
      <c r="N77" s="189"/>
      <c r="O77" s="189"/>
      <c r="P77" s="189"/>
      <c r="Q77" s="189"/>
      <c r="R77" s="189"/>
      <c r="S77" s="189"/>
      <c r="T77" s="189"/>
      <c r="U77" s="189"/>
      <c r="V77" s="189"/>
      <c r="W77" s="189"/>
    </row>
    <row r="78" spans="1:23" ht="11.25" customHeight="1" x14ac:dyDescent="0.25">
      <c r="A78" s="1165" t="s">
        <v>2628</v>
      </c>
      <c r="B78" s="1041"/>
      <c r="C78" s="1621">
        <v>0</v>
      </c>
      <c r="D78" s="1621"/>
      <c r="E78" s="1622">
        <v>0</v>
      </c>
      <c r="F78" s="1625">
        <v>3757000</v>
      </c>
      <c r="G78" s="1621">
        <f>F78</f>
        <v>3757000</v>
      </c>
      <c r="H78" s="1044">
        <f>G78</f>
        <v>3757000</v>
      </c>
      <c r="I78" s="1625">
        <v>3117000</v>
      </c>
      <c r="J78" s="1621">
        <f>I78*1.059</f>
        <v>3300903</v>
      </c>
      <c r="K78" s="1621">
        <f>J78*1.056</f>
        <v>3485753.568</v>
      </c>
      <c r="L78" s="188"/>
      <c r="M78" s="189"/>
      <c r="N78" s="189"/>
      <c r="O78" s="189"/>
      <c r="P78" s="189"/>
      <c r="Q78" s="189"/>
      <c r="R78" s="189"/>
      <c r="S78" s="189"/>
      <c r="T78" s="189"/>
      <c r="U78" s="189"/>
      <c r="V78" s="189"/>
      <c r="W78" s="189"/>
    </row>
    <row r="79" spans="1:23" ht="11.25" customHeight="1" x14ac:dyDescent="0.25">
      <c r="A79" s="1165">
        <f>'Org structure'!E77</f>
        <v>0</v>
      </c>
      <c r="B79" s="1041"/>
      <c r="C79" s="1621"/>
      <c r="D79" s="1621"/>
      <c r="E79" s="1622"/>
      <c r="F79" s="1623"/>
      <c r="G79" s="1621"/>
      <c r="H79" s="1624"/>
      <c r="I79" s="1625"/>
      <c r="J79" s="1621"/>
      <c r="K79" s="2674"/>
      <c r="L79" s="195"/>
      <c r="M79" s="196"/>
      <c r="N79" s="196"/>
      <c r="O79" s="196"/>
      <c r="P79" s="196"/>
      <c r="Q79" s="196"/>
      <c r="R79" s="196"/>
      <c r="S79" s="196"/>
      <c r="T79" s="196"/>
      <c r="U79" s="196"/>
      <c r="V79" s="196"/>
      <c r="W79" s="196"/>
    </row>
    <row r="80" spans="1:23" ht="11.25" customHeight="1" x14ac:dyDescent="0.25">
      <c r="A80" s="1165">
        <f>'Org structure'!E78</f>
        <v>0</v>
      </c>
      <c r="B80" s="1041"/>
      <c r="C80" s="1621"/>
      <c r="D80" s="1621"/>
      <c r="E80" s="1622"/>
      <c r="F80" s="1623"/>
      <c r="G80" s="1621"/>
      <c r="H80" s="1624"/>
      <c r="I80" s="1625"/>
      <c r="J80" s="1621"/>
      <c r="K80" s="2674"/>
      <c r="L80" s="195"/>
      <c r="M80" s="196"/>
      <c r="N80" s="196"/>
      <c r="O80" s="196"/>
      <c r="P80" s="196"/>
      <c r="Q80" s="196"/>
      <c r="R80" s="196"/>
      <c r="S80" s="196"/>
      <c r="T80" s="196"/>
      <c r="U80" s="196"/>
      <c r="V80" s="196"/>
      <c r="W80" s="196"/>
    </row>
    <row r="81" spans="1:23" ht="15" customHeight="1" x14ac:dyDescent="0.25">
      <c r="A81" s="1164" t="str">
        <f>'Org structure'!A9</f>
        <v>Vote 8 - 530 ELECTRICITY SERVICES</v>
      </c>
      <c r="B81" s="1041"/>
      <c r="C81" s="971">
        <f t="shared" ref="C81:K81" si="12">SUM(C82:C84)</f>
        <v>0</v>
      </c>
      <c r="D81" s="971">
        <f t="shared" si="12"/>
        <v>161456</v>
      </c>
      <c r="E81" s="972">
        <f t="shared" si="12"/>
        <v>2078725</v>
      </c>
      <c r="F81" s="973">
        <f t="shared" si="12"/>
        <v>0</v>
      </c>
      <c r="G81" s="971">
        <f t="shared" si="12"/>
        <v>0</v>
      </c>
      <c r="H81" s="974">
        <f t="shared" si="12"/>
        <v>0</v>
      </c>
      <c r="I81" s="975">
        <f t="shared" si="12"/>
        <v>1100000</v>
      </c>
      <c r="J81" s="971">
        <f t="shared" si="12"/>
        <v>1164900</v>
      </c>
      <c r="K81" s="971">
        <f t="shared" si="12"/>
        <v>1230134.4000000001</v>
      </c>
      <c r="L81" s="195"/>
      <c r="M81" s="196"/>
      <c r="N81" s="196"/>
      <c r="O81" s="196"/>
      <c r="P81" s="196"/>
      <c r="Q81" s="196"/>
      <c r="R81" s="196"/>
      <c r="S81" s="196"/>
      <c r="T81" s="196"/>
      <c r="U81" s="196"/>
      <c r="V81" s="196"/>
      <c r="W81" s="196"/>
    </row>
    <row r="82" spans="1:23" ht="11.25" customHeight="1" x14ac:dyDescent="0.25">
      <c r="A82" s="1165" t="s">
        <v>2345</v>
      </c>
      <c r="B82" s="1041"/>
      <c r="C82" s="1621">
        <v>0</v>
      </c>
      <c r="D82" s="1622">
        <v>161456</v>
      </c>
      <c r="E82" s="1623">
        <v>2078725</v>
      </c>
      <c r="F82" s="1625">
        <v>0</v>
      </c>
      <c r="G82" s="1621">
        <v>0</v>
      </c>
      <c r="H82" s="1624">
        <v>0</v>
      </c>
      <c r="I82" s="2668">
        <v>1100000</v>
      </c>
      <c r="J82" s="1621">
        <f>I82*1.059</f>
        <v>1164900</v>
      </c>
      <c r="K82" s="1621">
        <f>J82*1.056</f>
        <v>1230134.4000000001</v>
      </c>
      <c r="L82" s="195"/>
      <c r="M82" s="196"/>
      <c r="N82" s="196"/>
      <c r="O82" s="196"/>
      <c r="P82" s="196"/>
      <c r="Q82" s="196"/>
      <c r="R82" s="196"/>
      <c r="S82" s="196"/>
      <c r="T82" s="196"/>
      <c r="U82" s="196"/>
      <c r="V82" s="196"/>
      <c r="W82" s="196"/>
    </row>
    <row r="83" spans="1:23" ht="11.25" customHeight="1" x14ac:dyDescent="0.25">
      <c r="A83" s="1165">
        <f>'Org structure'!E88</f>
        <v>0</v>
      </c>
      <c r="B83" s="1041"/>
      <c r="C83" s="1621"/>
      <c r="D83" s="1621"/>
      <c r="E83" s="1622"/>
      <c r="F83" s="1623"/>
      <c r="G83" s="1621"/>
      <c r="H83" s="1624"/>
      <c r="I83" s="1625"/>
      <c r="J83" s="1621"/>
      <c r="K83" s="2674"/>
      <c r="L83" s="195"/>
      <c r="M83" s="196"/>
      <c r="N83" s="196"/>
      <c r="O83" s="196"/>
      <c r="P83" s="196"/>
      <c r="Q83" s="196"/>
      <c r="R83" s="196"/>
      <c r="S83" s="196"/>
      <c r="T83" s="196"/>
      <c r="U83" s="196"/>
      <c r="V83" s="196"/>
      <c r="W83" s="196"/>
    </row>
    <row r="84" spans="1:23" ht="11.25" customHeight="1" x14ac:dyDescent="0.25">
      <c r="A84" s="1165">
        <f>'Org structure'!E89</f>
        <v>0</v>
      </c>
      <c r="B84" s="1041"/>
      <c r="C84" s="1621"/>
      <c r="D84" s="1621"/>
      <c r="E84" s="1622"/>
      <c r="F84" s="1623"/>
      <c r="G84" s="1621"/>
      <c r="H84" s="1624"/>
      <c r="I84" s="1625"/>
      <c r="J84" s="1621"/>
      <c r="K84" s="2674"/>
      <c r="L84" s="195"/>
      <c r="M84" s="196"/>
      <c r="N84" s="196"/>
      <c r="O84" s="196"/>
      <c r="P84" s="196"/>
      <c r="Q84" s="196"/>
      <c r="R84" s="196"/>
      <c r="S84" s="196"/>
      <c r="T84" s="196"/>
      <c r="U84" s="196"/>
      <c r="V84" s="196"/>
      <c r="W84" s="196"/>
    </row>
    <row r="85" spans="1:23" ht="15" customHeight="1" x14ac:dyDescent="0.25">
      <c r="A85" s="1164" t="str">
        <f>'Org structure'!A10</f>
        <v>Vote 9 - 540 WATER SERVICES</v>
      </c>
      <c r="B85" s="1041"/>
      <c r="C85" s="971">
        <f t="shared" ref="C85:K85" si="13">SUM(C86:C99)</f>
        <v>35434743</v>
      </c>
      <c r="D85" s="971">
        <f t="shared" si="13"/>
        <v>38174855</v>
      </c>
      <c r="E85" s="972">
        <f t="shared" si="13"/>
        <v>39751099.770000003</v>
      </c>
      <c r="F85" s="973">
        <f t="shared" si="13"/>
        <v>52283407.110000007</v>
      </c>
      <c r="G85" s="971">
        <f t="shared" si="13"/>
        <v>52323367.400000006</v>
      </c>
      <c r="H85" s="974">
        <f t="shared" si="13"/>
        <v>52323367.400000006</v>
      </c>
      <c r="I85" s="975">
        <f t="shared" si="13"/>
        <v>57089377.469999999</v>
      </c>
      <c r="J85" s="971">
        <f t="shared" si="13"/>
        <v>60457650.740730003</v>
      </c>
      <c r="K85" s="971">
        <f t="shared" si="13"/>
        <v>63843279.182210885</v>
      </c>
      <c r="L85" s="195"/>
      <c r="M85" s="196"/>
      <c r="N85" s="196"/>
      <c r="O85" s="196"/>
      <c r="P85" s="196"/>
      <c r="Q85" s="196"/>
      <c r="R85" s="196"/>
      <c r="S85" s="196"/>
      <c r="T85" s="196"/>
      <c r="U85" s="196"/>
      <c r="V85" s="196"/>
      <c r="W85" s="196"/>
    </row>
    <row r="86" spans="1:23" ht="11.25" customHeight="1" x14ac:dyDescent="0.25">
      <c r="A86" s="1165" t="s">
        <v>2346</v>
      </c>
      <c r="B86" s="1041"/>
      <c r="C86" s="1621">
        <v>6771000</v>
      </c>
      <c r="D86" s="1622">
        <v>3136000</v>
      </c>
      <c r="E86" s="1623">
        <v>5000000</v>
      </c>
      <c r="F86" s="1625">
        <v>10000000</v>
      </c>
      <c r="G86" s="1621">
        <f>F86</f>
        <v>10000000</v>
      </c>
      <c r="H86" s="1621">
        <f>G86</f>
        <v>10000000</v>
      </c>
      <c r="I86" s="1625">
        <v>15000000</v>
      </c>
      <c r="J86" s="1621">
        <f>I86*1.059</f>
        <v>15885000</v>
      </c>
      <c r="K86" s="1621">
        <f>J86*1.056</f>
        <v>16774560</v>
      </c>
      <c r="L86" s="195"/>
      <c r="M86" s="196"/>
      <c r="N86" s="196"/>
      <c r="O86" s="196"/>
      <c r="P86" s="196"/>
      <c r="Q86" s="196"/>
      <c r="R86" s="196"/>
      <c r="S86" s="196"/>
      <c r="T86" s="196"/>
      <c r="U86" s="196"/>
      <c r="V86" s="196"/>
      <c r="W86" s="196"/>
    </row>
    <row r="87" spans="1:23" ht="11.25" customHeight="1" x14ac:dyDescent="0.25">
      <c r="A87" s="1165" t="s">
        <v>2347</v>
      </c>
      <c r="B87" s="1041"/>
      <c r="C87" s="1621">
        <v>50000</v>
      </c>
      <c r="D87" s="1622">
        <v>25715</v>
      </c>
      <c r="E87" s="1623">
        <v>33319.279999999999</v>
      </c>
      <c r="F87" s="1625">
        <v>35158.06</v>
      </c>
      <c r="G87" s="1044">
        <f>F87+-7486.06</f>
        <v>27671.999999999996</v>
      </c>
      <c r="H87" s="1621">
        <f t="shared" ref="H87:H97" si="14">G87</f>
        <v>27671.999999999996</v>
      </c>
      <c r="I87" s="1625">
        <v>29276.98</v>
      </c>
      <c r="J87" s="1621">
        <f t="shared" ref="J87:J97" si="15">I87*1.059</f>
        <v>31004.321819999997</v>
      </c>
      <c r="K87" s="1621">
        <f t="shared" ref="K87:K97" si="16">J87*1.056</f>
        <v>32740.56384192</v>
      </c>
      <c r="L87" s="195"/>
      <c r="M87" s="196"/>
      <c r="N87" s="196"/>
      <c r="O87" s="196"/>
      <c r="P87" s="196"/>
      <c r="Q87" s="196"/>
      <c r="R87" s="196"/>
      <c r="S87" s="196"/>
      <c r="T87" s="196"/>
      <c r="U87" s="196"/>
      <c r="V87" s="196"/>
      <c r="W87" s="196"/>
    </row>
    <row r="88" spans="1:23" ht="11.25" customHeight="1" x14ac:dyDescent="0.25">
      <c r="A88" s="1165" t="s">
        <v>2348</v>
      </c>
      <c r="B88" s="1041"/>
      <c r="C88" s="1621">
        <v>27976743</v>
      </c>
      <c r="D88" s="1622">
        <v>1368307</v>
      </c>
      <c r="E88" s="1623">
        <v>208871.17</v>
      </c>
      <c r="F88" s="1625">
        <v>221312.53</v>
      </c>
      <c r="G88" s="1044">
        <f>F88+-90930.53</f>
        <v>130382</v>
      </c>
      <c r="H88" s="1621">
        <f t="shared" si="14"/>
        <v>130382</v>
      </c>
      <c r="I88" s="1625">
        <v>137944.16</v>
      </c>
      <c r="J88" s="1621">
        <f t="shared" si="15"/>
        <v>146082.86543999999</v>
      </c>
      <c r="K88" s="1621">
        <f t="shared" si="16"/>
        <v>154263.50590464001</v>
      </c>
      <c r="L88" s="195"/>
      <c r="M88" s="196"/>
      <c r="N88" s="196"/>
      <c r="O88" s="196"/>
      <c r="P88" s="196"/>
      <c r="Q88" s="196"/>
      <c r="R88" s="196"/>
      <c r="S88" s="196"/>
      <c r="T88" s="196"/>
      <c r="U88" s="196"/>
      <c r="V88" s="196"/>
      <c r="W88" s="196"/>
    </row>
    <row r="89" spans="1:23" ht="11.25" customHeight="1" x14ac:dyDescent="0.25">
      <c r="A89" s="1165" t="s">
        <v>2349</v>
      </c>
      <c r="B89" s="1041"/>
      <c r="C89" s="1621">
        <v>0</v>
      </c>
      <c r="D89" s="1622">
        <v>558128</v>
      </c>
      <c r="E89" s="1623">
        <f>443296.38+0.77</f>
        <v>443297.15</v>
      </c>
      <c r="F89" s="1625">
        <v>0</v>
      </c>
      <c r="G89" s="1621">
        <v>0</v>
      </c>
      <c r="H89" s="1621">
        <f t="shared" si="14"/>
        <v>0</v>
      </c>
      <c r="I89" s="1625">
        <v>0</v>
      </c>
      <c r="J89" s="1621">
        <f t="shared" si="15"/>
        <v>0</v>
      </c>
      <c r="K89" s="1621">
        <f t="shared" si="16"/>
        <v>0</v>
      </c>
      <c r="L89" s="195"/>
      <c r="M89" s="196"/>
      <c r="N89" s="196"/>
      <c r="O89" s="196"/>
      <c r="P89" s="196"/>
      <c r="Q89" s="196"/>
      <c r="R89" s="196"/>
      <c r="S89" s="196"/>
      <c r="T89" s="196"/>
      <c r="U89" s="196"/>
      <c r="V89" s="196"/>
      <c r="W89" s="196"/>
    </row>
    <row r="90" spans="1:23" ht="11.25" customHeight="1" x14ac:dyDescent="0.25">
      <c r="A90" s="1165" t="s">
        <v>2350</v>
      </c>
      <c r="B90" s="1041"/>
      <c r="C90" s="1621">
        <v>0</v>
      </c>
      <c r="D90" s="1622">
        <v>772115</v>
      </c>
      <c r="E90" s="1623">
        <v>1452233.54</v>
      </c>
      <c r="F90" s="1625">
        <v>0</v>
      </c>
      <c r="G90" s="1621">
        <v>0</v>
      </c>
      <c r="H90" s="1621">
        <f t="shared" si="14"/>
        <v>0</v>
      </c>
      <c r="I90" s="1625">
        <v>0</v>
      </c>
      <c r="J90" s="1621">
        <f t="shared" si="15"/>
        <v>0</v>
      </c>
      <c r="K90" s="1621">
        <f t="shared" si="16"/>
        <v>0</v>
      </c>
      <c r="L90" s="195"/>
      <c r="M90" s="196"/>
      <c r="N90" s="196"/>
      <c r="O90" s="196"/>
      <c r="P90" s="196"/>
      <c r="Q90" s="196"/>
      <c r="R90" s="196"/>
      <c r="S90" s="196"/>
      <c r="T90" s="196"/>
      <c r="U90" s="196"/>
      <c r="V90" s="196"/>
      <c r="W90" s="196"/>
    </row>
    <row r="91" spans="1:23" ht="11.25" customHeight="1" x14ac:dyDescent="0.25">
      <c r="A91" s="1165" t="s">
        <v>2351</v>
      </c>
      <c r="B91" s="1041"/>
      <c r="C91" s="1621">
        <v>6000</v>
      </c>
      <c r="D91" s="1622">
        <v>16528</v>
      </c>
      <c r="E91" s="1623">
        <v>31451.15</v>
      </c>
      <c r="F91" s="1625">
        <v>38906.120000000003</v>
      </c>
      <c r="G91" s="1044">
        <f>F91+-28250.12</f>
        <v>10656.000000000004</v>
      </c>
      <c r="H91" s="1621">
        <f t="shared" si="14"/>
        <v>10656.000000000004</v>
      </c>
      <c r="I91" s="1625">
        <v>11274.05</v>
      </c>
      <c r="J91" s="1621">
        <f t="shared" si="15"/>
        <v>11939.218949999999</v>
      </c>
      <c r="K91" s="1621">
        <f t="shared" si="16"/>
        <v>12607.815211199999</v>
      </c>
      <c r="L91" s="195"/>
      <c r="M91" s="196"/>
      <c r="N91" s="196"/>
      <c r="O91" s="196"/>
      <c r="P91" s="196"/>
      <c r="Q91" s="196"/>
      <c r="R91" s="196"/>
      <c r="S91" s="196"/>
      <c r="T91" s="196"/>
      <c r="U91" s="196"/>
      <c r="V91" s="196"/>
      <c r="W91" s="196"/>
    </row>
    <row r="92" spans="1:23" ht="11.25" customHeight="1" x14ac:dyDescent="0.25">
      <c r="A92" s="1165" t="s">
        <v>2352</v>
      </c>
      <c r="B92" s="1041"/>
      <c r="C92" s="1621">
        <v>0</v>
      </c>
      <c r="D92" s="1622">
        <v>32058440</v>
      </c>
      <c r="E92" s="1623">
        <v>31194448.48</v>
      </c>
      <c r="F92" s="1625">
        <v>39931200</v>
      </c>
      <c r="G92" s="1621">
        <f>F92</f>
        <v>39931200</v>
      </c>
      <c r="H92" s="1621">
        <f t="shared" si="14"/>
        <v>39931200</v>
      </c>
      <c r="I92" s="1625">
        <v>41751688.280000001</v>
      </c>
      <c r="J92" s="1621">
        <v>44215037.888520002</v>
      </c>
      <c r="K92" s="1621">
        <v>46691080.010277122</v>
      </c>
      <c r="L92" s="195"/>
      <c r="M92" s="196"/>
      <c r="N92" s="196"/>
      <c r="O92" s="196"/>
      <c r="P92" s="196"/>
      <c r="Q92" s="196"/>
      <c r="R92" s="196"/>
      <c r="S92" s="196"/>
      <c r="T92" s="196"/>
      <c r="U92" s="196"/>
      <c r="V92" s="196"/>
      <c r="W92" s="196"/>
    </row>
    <row r="93" spans="1:23" ht="11.25" customHeight="1" x14ac:dyDescent="0.25">
      <c r="A93" s="1165" t="s">
        <v>2353</v>
      </c>
      <c r="B93" s="1041"/>
      <c r="C93" s="1621">
        <v>0</v>
      </c>
      <c r="D93" s="1622"/>
      <c r="E93" s="1623">
        <v>0</v>
      </c>
      <c r="F93" s="1625">
        <v>300000</v>
      </c>
      <c r="G93" s="1621">
        <f>F93</f>
        <v>300000</v>
      </c>
      <c r="H93" s="1621">
        <f t="shared" si="14"/>
        <v>300000</v>
      </c>
      <c r="I93" s="1625">
        <v>0</v>
      </c>
      <c r="J93" s="1621">
        <f t="shared" si="15"/>
        <v>0</v>
      </c>
      <c r="K93" s="1621">
        <f t="shared" si="16"/>
        <v>0</v>
      </c>
      <c r="L93" s="195"/>
      <c r="M93" s="196"/>
      <c r="N93" s="196"/>
      <c r="O93" s="196"/>
      <c r="P93" s="196"/>
      <c r="Q93" s="196"/>
      <c r="R93" s="196"/>
      <c r="S93" s="196"/>
      <c r="T93" s="196"/>
      <c r="U93" s="196"/>
      <c r="V93" s="196"/>
      <c r="W93" s="196"/>
    </row>
    <row r="94" spans="1:23" ht="11.25" customHeight="1" x14ac:dyDescent="0.25">
      <c r="A94" s="1165" t="s">
        <v>2354</v>
      </c>
      <c r="B94" s="1041"/>
      <c r="C94" s="1621">
        <v>631000</v>
      </c>
      <c r="D94" s="1622">
        <v>23580</v>
      </c>
      <c r="E94" s="1623">
        <v>1387479</v>
      </c>
      <c r="F94" s="1625">
        <v>1533259.31</v>
      </c>
      <c r="G94" s="1621">
        <v>1533259.31</v>
      </c>
      <c r="H94" s="1621">
        <f t="shared" si="14"/>
        <v>1533259.31</v>
      </c>
      <c r="I94" s="1625">
        <v>0</v>
      </c>
      <c r="J94" s="1621">
        <f t="shared" si="15"/>
        <v>0</v>
      </c>
      <c r="K94" s="1621">
        <f t="shared" si="16"/>
        <v>0</v>
      </c>
      <c r="L94" s="195"/>
      <c r="M94" s="196"/>
      <c r="N94" s="196"/>
      <c r="O94" s="196"/>
      <c r="P94" s="196"/>
      <c r="Q94" s="196"/>
      <c r="R94" s="196"/>
      <c r="S94" s="196"/>
      <c r="T94" s="196"/>
      <c r="U94" s="196"/>
      <c r="V94" s="196"/>
      <c r="W94" s="196"/>
    </row>
    <row r="95" spans="1:23" ht="11.25" customHeight="1" x14ac:dyDescent="0.25">
      <c r="A95" s="1165" t="s">
        <v>2356</v>
      </c>
      <c r="B95" s="1041"/>
      <c r="C95" s="1621"/>
      <c r="D95" s="1624">
        <v>214292</v>
      </c>
      <c r="E95" s="1624"/>
      <c r="F95" s="1623">
        <v>214242.84</v>
      </c>
      <c r="G95" s="1621">
        <v>237284.84</v>
      </c>
      <c r="H95" s="1621">
        <v>237284.84</v>
      </c>
      <c r="I95" s="1625">
        <v>0</v>
      </c>
      <c r="J95" s="1621">
        <f t="shared" si="15"/>
        <v>0</v>
      </c>
      <c r="K95" s="1621">
        <f t="shared" si="16"/>
        <v>0</v>
      </c>
      <c r="L95" s="195"/>
      <c r="M95" s="196"/>
      <c r="N95" s="196"/>
      <c r="O95" s="196"/>
      <c r="P95" s="196"/>
      <c r="Q95" s="196"/>
      <c r="R95" s="196"/>
      <c r="S95" s="196"/>
      <c r="T95" s="196"/>
      <c r="U95" s="196"/>
      <c r="V95" s="196"/>
      <c r="W95" s="196"/>
    </row>
    <row r="96" spans="1:23" ht="11.25" customHeight="1" x14ac:dyDescent="0.25">
      <c r="A96" s="1165" t="s">
        <v>2694</v>
      </c>
      <c r="B96" s="1041"/>
      <c r="C96" s="1621"/>
      <c r="D96" s="1624">
        <v>1750</v>
      </c>
      <c r="E96" s="1624"/>
      <c r="F96" s="1623">
        <v>9328.25</v>
      </c>
      <c r="G96" s="1621">
        <v>2446.25</v>
      </c>
      <c r="H96" s="1621">
        <v>2446.25</v>
      </c>
      <c r="I96" s="1625">
        <v>0</v>
      </c>
      <c r="J96" s="1621">
        <f t="shared" si="15"/>
        <v>0</v>
      </c>
      <c r="K96" s="1621">
        <f t="shared" si="16"/>
        <v>0</v>
      </c>
      <c r="L96" s="195"/>
      <c r="M96" s="196"/>
      <c r="N96" s="196"/>
      <c r="O96" s="196"/>
      <c r="P96" s="196"/>
      <c r="Q96" s="196"/>
      <c r="R96" s="196"/>
      <c r="S96" s="196"/>
      <c r="T96" s="196"/>
      <c r="U96" s="196"/>
      <c r="V96" s="196"/>
      <c r="W96" s="196"/>
    </row>
    <row r="97" spans="1:23" ht="11.25" customHeight="1" x14ac:dyDescent="0.25">
      <c r="A97" s="1165" t="s">
        <v>2599</v>
      </c>
      <c r="B97" s="1041"/>
      <c r="C97" s="1621">
        <v>0</v>
      </c>
      <c r="D97" s="1621">
        <v>0</v>
      </c>
      <c r="E97" s="1622">
        <v>0</v>
      </c>
      <c r="F97" s="1623">
        <v>0</v>
      </c>
      <c r="G97" s="1044">
        <v>150467</v>
      </c>
      <c r="H97" s="1621">
        <f t="shared" si="14"/>
        <v>150467</v>
      </c>
      <c r="I97" s="1625">
        <v>159194</v>
      </c>
      <c r="J97" s="1621">
        <f t="shared" si="15"/>
        <v>168586.446</v>
      </c>
      <c r="K97" s="1621">
        <f t="shared" si="16"/>
        <v>178027.286976</v>
      </c>
      <c r="L97" s="195"/>
      <c r="M97" s="196"/>
      <c r="N97" s="196"/>
      <c r="O97" s="196"/>
      <c r="P97" s="196"/>
      <c r="Q97" s="196"/>
      <c r="R97" s="196"/>
      <c r="S97" s="196"/>
      <c r="T97" s="196"/>
      <c r="U97" s="196"/>
      <c r="V97" s="196"/>
      <c r="W97" s="196"/>
    </row>
    <row r="98" spans="1:23" ht="11.25" customHeight="1" x14ac:dyDescent="0.25">
      <c r="A98" s="1165">
        <f>'Org structure'!E99</f>
        <v>0</v>
      </c>
      <c r="B98" s="1041"/>
      <c r="C98" s="1621"/>
      <c r="D98" s="1621"/>
      <c r="E98" s="1622"/>
      <c r="F98" s="1623"/>
      <c r="G98" s="1621"/>
      <c r="H98" s="1624"/>
      <c r="I98" s="1625"/>
      <c r="J98" s="1621"/>
      <c r="K98" s="1621"/>
      <c r="L98" s="195"/>
      <c r="M98" s="196"/>
      <c r="N98" s="196"/>
      <c r="O98" s="196"/>
      <c r="P98" s="196"/>
      <c r="Q98" s="196"/>
      <c r="R98" s="196"/>
      <c r="S98" s="196"/>
      <c r="T98" s="196"/>
      <c r="U98" s="196"/>
      <c r="V98" s="196"/>
      <c r="W98" s="196"/>
    </row>
    <row r="99" spans="1:23" ht="11.25" customHeight="1" x14ac:dyDescent="0.25">
      <c r="A99" s="1165">
        <f>'Org structure'!E100</f>
        <v>0</v>
      </c>
      <c r="B99" s="1041"/>
      <c r="C99" s="1621"/>
      <c r="D99" s="1621"/>
      <c r="E99" s="1622"/>
      <c r="F99" s="1623"/>
      <c r="G99" s="1621"/>
      <c r="H99" s="1624"/>
      <c r="I99" s="1625"/>
      <c r="J99" s="1621"/>
      <c r="K99" s="2674"/>
      <c r="L99" s="195"/>
      <c r="M99" s="196"/>
      <c r="N99" s="196"/>
      <c r="O99" s="196"/>
      <c r="P99" s="196"/>
      <c r="Q99" s="196"/>
      <c r="R99" s="196"/>
      <c r="S99" s="196"/>
      <c r="T99" s="196"/>
      <c r="U99" s="196"/>
      <c r="V99" s="196"/>
      <c r="W99" s="196"/>
    </row>
    <row r="100" spans="1:23" ht="15" customHeight="1" x14ac:dyDescent="0.25">
      <c r="A100" s="1164" t="str">
        <f>'Org structure'!A11</f>
        <v>Vote 10 - 550 ROADS &amp; STORMWATER</v>
      </c>
      <c r="B100" s="1041"/>
      <c r="C100" s="971">
        <f t="shared" ref="C100:K100" si="17">SUM(C101:C103)</f>
        <v>0</v>
      </c>
      <c r="D100" s="971">
        <f t="shared" si="17"/>
        <v>0</v>
      </c>
      <c r="E100" s="972">
        <f t="shared" si="17"/>
        <v>0</v>
      </c>
      <c r="F100" s="973">
        <f t="shared" si="17"/>
        <v>0</v>
      </c>
      <c r="G100" s="971">
        <f t="shared" si="17"/>
        <v>0</v>
      </c>
      <c r="H100" s="974">
        <f t="shared" si="17"/>
        <v>0</v>
      </c>
      <c r="I100" s="975">
        <f t="shared" si="17"/>
        <v>0</v>
      </c>
      <c r="J100" s="971">
        <f t="shared" si="17"/>
        <v>0</v>
      </c>
      <c r="K100" s="2673">
        <f t="shared" si="17"/>
        <v>0</v>
      </c>
      <c r="L100" s="195"/>
      <c r="M100" s="196"/>
      <c r="N100" s="196"/>
      <c r="O100" s="196"/>
      <c r="P100" s="196"/>
      <c r="Q100" s="196"/>
      <c r="R100" s="196"/>
      <c r="S100" s="196"/>
      <c r="T100" s="196"/>
      <c r="U100" s="196"/>
      <c r="V100" s="196"/>
      <c r="W100" s="196"/>
    </row>
    <row r="101" spans="1:23" ht="11.25" customHeight="1" x14ac:dyDescent="0.25">
      <c r="A101" s="1165"/>
      <c r="B101" s="1041"/>
      <c r="C101" s="1621"/>
      <c r="D101" s="1621"/>
      <c r="E101" s="1622"/>
      <c r="F101" s="1623"/>
      <c r="G101" s="1621"/>
      <c r="H101" s="1624"/>
      <c r="I101" s="1625"/>
      <c r="J101" s="1621"/>
      <c r="K101" s="2674"/>
      <c r="L101" s="195"/>
      <c r="M101" s="196"/>
      <c r="N101" s="196"/>
      <c r="O101" s="196"/>
      <c r="P101" s="196"/>
      <c r="Q101" s="196"/>
      <c r="R101" s="196"/>
      <c r="S101" s="196"/>
      <c r="T101" s="196"/>
      <c r="U101" s="196"/>
      <c r="V101" s="196"/>
      <c r="W101" s="196"/>
    </row>
    <row r="102" spans="1:23" ht="11.25" customHeight="1" x14ac:dyDescent="0.25">
      <c r="A102" s="1165">
        <f>'Org structure'!E110</f>
        <v>0</v>
      </c>
      <c r="B102" s="1041"/>
      <c r="C102" s="1621"/>
      <c r="D102" s="1621"/>
      <c r="E102" s="1622"/>
      <c r="F102" s="1623"/>
      <c r="G102" s="1621"/>
      <c r="H102" s="1624"/>
      <c r="I102" s="1625"/>
      <c r="J102" s="1621"/>
      <c r="K102" s="2674"/>
      <c r="L102" s="195"/>
      <c r="M102" s="196"/>
      <c r="N102" s="196"/>
      <c r="O102" s="196"/>
      <c r="P102" s="196"/>
      <c r="Q102" s="196"/>
      <c r="R102" s="196"/>
      <c r="S102" s="196"/>
      <c r="T102" s="196"/>
      <c r="U102" s="196"/>
      <c r="V102" s="196"/>
      <c r="W102" s="196"/>
    </row>
    <row r="103" spans="1:23" ht="11.25" customHeight="1" x14ac:dyDescent="0.25">
      <c r="A103" s="1165">
        <f>'Org structure'!E111</f>
        <v>0</v>
      </c>
      <c r="B103" s="1041"/>
      <c r="C103" s="1621"/>
      <c r="D103" s="1621"/>
      <c r="E103" s="1622"/>
      <c r="F103" s="1623"/>
      <c r="G103" s="1621"/>
      <c r="H103" s="1624"/>
      <c r="I103" s="1625"/>
      <c r="J103" s="1621"/>
      <c r="K103" s="2674"/>
      <c r="L103" s="195"/>
      <c r="M103" s="196"/>
      <c r="N103" s="196"/>
      <c r="O103" s="196"/>
      <c r="P103" s="196"/>
      <c r="Q103" s="196"/>
      <c r="R103" s="196"/>
      <c r="S103" s="196"/>
      <c r="T103" s="196"/>
      <c r="U103" s="196"/>
      <c r="V103" s="196"/>
      <c r="W103" s="196"/>
    </row>
    <row r="104" spans="1:23" ht="15" customHeight="1" x14ac:dyDescent="0.25">
      <c r="A104" s="2207" t="str">
        <f>'Org structure'!A12</f>
        <v>Vote 11 - 560 SANITATION SERVICES</v>
      </c>
      <c r="B104" s="1041"/>
      <c r="C104" s="971">
        <f>SUM(C105:C114)</f>
        <v>0</v>
      </c>
      <c r="D104" s="971">
        <f t="shared" ref="D104:K104" si="18">SUM(D105:D114)</f>
        <v>0</v>
      </c>
      <c r="E104" s="972">
        <f t="shared" si="18"/>
        <v>0</v>
      </c>
      <c r="F104" s="973">
        <f t="shared" si="18"/>
        <v>0</v>
      </c>
      <c r="G104" s="971">
        <f t="shared" si="18"/>
        <v>0</v>
      </c>
      <c r="H104" s="974">
        <f t="shared" si="18"/>
        <v>0</v>
      </c>
      <c r="I104" s="975">
        <f t="shared" si="18"/>
        <v>2044223.5800000003</v>
      </c>
      <c r="J104" s="971">
        <f t="shared" si="18"/>
        <v>2164832.77122</v>
      </c>
      <c r="K104" s="971">
        <f t="shared" si="18"/>
        <v>2286063.4064083202</v>
      </c>
      <c r="L104" s="195"/>
      <c r="M104" s="196"/>
      <c r="N104" s="196"/>
      <c r="O104" s="196"/>
      <c r="P104" s="196"/>
      <c r="Q104" s="196"/>
      <c r="R104" s="196"/>
      <c r="S104" s="196"/>
      <c r="T104" s="196"/>
      <c r="U104" s="196"/>
      <c r="V104" s="196"/>
      <c r="W104" s="196"/>
    </row>
    <row r="105" spans="1:23" ht="11.25" customHeight="1" x14ac:dyDescent="0.25">
      <c r="A105" s="1165" t="s">
        <v>2355</v>
      </c>
      <c r="B105" s="1041"/>
      <c r="C105" s="1621">
        <v>0</v>
      </c>
      <c r="D105" s="1622">
        <v>0</v>
      </c>
      <c r="E105" s="1623">
        <v>0</v>
      </c>
      <c r="F105" s="1625">
        <v>0</v>
      </c>
      <c r="G105" s="1621">
        <f>F105</f>
        <v>0</v>
      </c>
      <c r="H105" s="1621">
        <f>G105</f>
        <v>0</v>
      </c>
      <c r="I105" s="1625">
        <v>1790589.2400000002</v>
      </c>
      <c r="J105" s="1621">
        <v>1896234.0051600002</v>
      </c>
      <c r="K105" s="1621">
        <v>2002423.1094489603</v>
      </c>
      <c r="L105" s="195"/>
      <c r="M105" s="196"/>
      <c r="N105" s="196"/>
      <c r="O105" s="196"/>
      <c r="P105" s="196"/>
      <c r="Q105" s="196"/>
      <c r="R105" s="196"/>
      <c r="S105" s="196"/>
      <c r="T105" s="196"/>
      <c r="U105" s="196"/>
      <c r="V105" s="196"/>
      <c r="W105" s="196"/>
    </row>
    <row r="106" spans="1:23" ht="11.25" customHeight="1" x14ac:dyDescent="0.25">
      <c r="A106" s="1165" t="s">
        <v>2600</v>
      </c>
      <c r="B106" s="1041"/>
      <c r="C106" s="1621">
        <v>0</v>
      </c>
      <c r="D106" s="1622">
        <v>0</v>
      </c>
      <c r="E106" s="1623">
        <v>0</v>
      </c>
      <c r="F106" s="1625">
        <v>0</v>
      </c>
      <c r="G106" s="1044">
        <v>0</v>
      </c>
      <c r="H106" s="1621">
        <f>G106</f>
        <v>0</v>
      </c>
      <c r="I106" s="1625">
        <v>2587.87</v>
      </c>
      <c r="J106" s="1621">
        <f>I106*1.059</f>
        <v>2740.5543299999999</v>
      </c>
      <c r="K106" s="1621">
        <f>J106*1.056</f>
        <v>2894.02537248</v>
      </c>
      <c r="L106" s="195"/>
      <c r="M106" s="196"/>
      <c r="N106" s="196"/>
      <c r="O106" s="196"/>
      <c r="P106" s="196"/>
      <c r="Q106" s="196"/>
      <c r="R106" s="196"/>
      <c r="S106" s="196"/>
      <c r="T106" s="196"/>
      <c r="U106" s="196"/>
      <c r="V106" s="196"/>
      <c r="W106" s="196"/>
    </row>
    <row r="107" spans="1:23" ht="11.25" customHeight="1" x14ac:dyDescent="0.25">
      <c r="A107" s="1165" t="s">
        <v>2356</v>
      </c>
      <c r="B107" s="1041"/>
      <c r="C107" s="1621">
        <v>0</v>
      </c>
      <c r="D107" s="1622">
        <v>0</v>
      </c>
      <c r="E107" s="1623">
        <v>0</v>
      </c>
      <c r="F107" s="1625">
        <v>0</v>
      </c>
      <c r="G107" s="1044">
        <v>0</v>
      </c>
      <c r="H107" s="1621">
        <f>G107</f>
        <v>0</v>
      </c>
      <c r="I107" s="1625">
        <v>251046.47</v>
      </c>
      <c r="J107" s="1621">
        <f>I107*1.059</f>
        <v>265858.21172999998</v>
      </c>
      <c r="K107" s="1621">
        <f>J107*1.056</f>
        <v>280746.27158687997</v>
      </c>
      <c r="L107" s="195"/>
      <c r="M107" s="196"/>
      <c r="N107" s="196"/>
      <c r="O107" s="196"/>
      <c r="P107" s="196"/>
      <c r="Q107" s="196"/>
      <c r="R107" s="196"/>
      <c r="S107" s="196"/>
      <c r="T107" s="196"/>
      <c r="U107" s="196"/>
      <c r="V107" s="196"/>
      <c r="W107" s="196"/>
    </row>
    <row r="108" spans="1:23" ht="11.25" customHeight="1" x14ac:dyDescent="0.25">
      <c r="A108" s="1165">
        <f>'Org structure'!E116</f>
        <v>0</v>
      </c>
      <c r="B108" s="1041"/>
      <c r="C108" s="1621"/>
      <c r="D108" s="1621"/>
      <c r="E108" s="1622"/>
      <c r="F108" s="1623"/>
      <c r="G108" s="1621"/>
      <c r="H108" s="1624"/>
      <c r="I108" s="1625"/>
      <c r="J108" s="1621"/>
      <c r="K108" s="2674"/>
      <c r="L108" s="195"/>
      <c r="M108" s="196"/>
      <c r="N108" s="196"/>
      <c r="O108" s="196"/>
      <c r="P108" s="196"/>
      <c r="Q108" s="196"/>
      <c r="R108" s="196"/>
      <c r="S108" s="196"/>
      <c r="T108" s="196"/>
      <c r="U108" s="196"/>
      <c r="V108" s="196"/>
      <c r="W108" s="196"/>
    </row>
    <row r="109" spans="1:23" ht="11.25" customHeight="1" x14ac:dyDescent="0.25">
      <c r="A109" s="1165">
        <f>'Org structure'!E117</f>
        <v>0</v>
      </c>
      <c r="B109" s="1041"/>
      <c r="C109" s="1621"/>
      <c r="D109" s="1621"/>
      <c r="E109" s="1622"/>
      <c r="F109" s="1623"/>
      <c r="G109" s="1621"/>
      <c r="H109" s="1624"/>
      <c r="I109" s="1625"/>
      <c r="J109" s="1621"/>
      <c r="K109" s="2674"/>
      <c r="L109" s="195"/>
      <c r="M109" s="196"/>
      <c r="N109" s="196"/>
      <c r="O109" s="196"/>
      <c r="P109" s="196"/>
      <c r="Q109" s="196"/>
      <c r="R109" s="196"/>
      <c r="S109" s="196"/>
      <c r="T109" s="196"/>
      <c r="U109" s="196"/>
      <c r="V109" s="196"/>
      <c r="W109" s="196"/>
    </row>
    <row r="110" spans="1:23" ht="11.25" customHeight="1" x14ac:dyDescent="0.25">
      <c r="A110" s="1165">
        <f>'Org structure'!E118</f>
        <v>0</v>
      </c>
      <c r="B110" s="1041"/>
      <c r="C110" s="1621"/>
      <c r="D110" s="1621"/>
      <c r="E110" s="1622"/>
      <c r="F110" s="1623"/>
      <c r="G110" s="1621"/>
      <c r="H110" s="1624"/>
      <c r="I110" s="1625"/>
      <c r="J110" s="1621"/>
      <c r="K110" s="2674"/>
      <c r="L110" s="195"/>
      <c r="M110" s="196"/>
      <c r="N110" s="196"/>
      <c r="O110" s="196"/>
      <c r="P110" s="196"/>
      <c r="Q110" s="196"/>
      <c r="R110" s="196"/>
      <c r="S110" s="196"/>
      <c r="T110" s="196"/>
      <c r="U110" s="196"/>
      <c r="V110" s="196"/>
      <c r="W110" s="196"/>
    </row>
    <row r="111" spans="1:23" ht="11.25" customHeight="1" x14ac:dyDescent="0.25">
      <c r="A111" s="1165">
        <f>'Org structure'!E119</f>
        <v>0</v>
      </c>
      <c r="B111" s="1041"/>
      <c r="C111" s="1621"/>
      <c r="D111" s="1621"/>
      <c r="E111" s="1622"/>
      <c r="F111" s="1623"/>
      <c r="G111" s="1621"/>
      <c r="H111" s="1624"/>
      <c r="I111" s="1625"/>
      <c r="J111" s="1621"/>
      <c r="K111" s="2674"/>
      <c r="L111" s="195"/>
      <c r="M111" s="196"/>
      <c r="N111" s="196"/>
      <c r="O111" s="196"/>
      <c r="P111" s="196"/>
      <c r="Q111" s="196"/>
      <c r="R111" s="196"/>
      <c r="S111" s="196"/>
      <c r="T111" s="196"/>
      <c r="U111" s="196"/>
      <c r="V111" s="196"/>
      <c r="W111" s="196"/>
    </row>
    <row r="112" spans="1:23" ht="11.25" customHeight="1" x14ac:dyDescent="0.25">
      <c r="A112" s="1165">
        <f>'Org structure'!E120</f>
        <v>0</v>
      </c>
      <c r="B112" s="1041"/>
      <c r="C112" s="1621"/>
      <c r="D112" s="1621"/>
      <c r="E112" s="1622"/>
      <c r="F112" s="1623"/>
      <c r="G112" s="1621"/>
      <c r="H112" s="1624"/>
      <c r="I112" s="1625"/>
      <c r="J112" s="1621"/>
      <c r="K112" s="2674"/>
      <c r="L112" s="195"/>
      <c r="M112" s="196"/>
      <c r="N112" s="196"/>
      <c r="O112" s="196"/>
      <c r="P112" s="196"/>
      <c r="Q112" s="196"/>
      <c r="R112" s="196"/>
      <c r="S112" s="196"/>
      <c r="T112" s="196"/>
      <c r="U112" s="196"/>
      <c r="V112" s="196"/>
      <c r="W112" s="196"/>
    </row>
    <row r="113" spans="1:23" ht="11.25" customHeight="1" x14ac:dyDescent="0.25">
      <c r="A113" s="1165">
        <f>'Org structure'!E121</f>
        <v>0</v>
      </c>
      <c r="B113" s="1041"/>
      <c r="C113" s="1621"/>
      <c r="D113" s="1621"/>
      <c r="E113" s="1622"/>
      <c r="F113" s="1623"/>
      <c r="G113" s="1621"/>
      <c r="H113" s="1624"/>
      <c r="I113" s="1625"/>
      <c r="J113" s="1621"/>
      <c r="K113" s="2674"/>
      <c r="L113" s="195"/>
      <c r="M113" s="196"/>
      <c r="N113" s="196"/>
      <c r="O113" s="196"/>
      <c r="P113" s="196"/>
      <c r="Q113" s="196"/>
      <c r="R113" s="196"/>
      <c r="S113" s="196"/>
      <c r="T113" s="196"/>
      <c r="U113" s="196"/>
      <c r="V113" s="196"/>
      <c r="W113" s="196"/>
    </row>
    <row r="114" spans="1:23" ht="11.25" customHeight="1" x14ac:dyDescent="0.25">
      <c r="A114" s="1165">
        <f>'Org structure'!E122</f>
        <v>0</v>
      </c>
      <c r="B114" s="1041"/>
      <c r="C114" s="1621"/>
      <c r="D114" s="1621"/>
      <c r="E114" s="1622"/>
      <c r="F114" s="1623"/>
      <c r="G114" s="1621"/>
      <c r="H114" s="1624"/>
      <c r="I114" s="1625"/>
      <c r="J114" s="1621"/>
      <c r="K114" s="2674"/>
      <c r="L114" s="195"/>
      <c r="M114" s="196"/>
      <c r="N114" s="196"/>
      <c r="O114" s="196"/>
      <c r="P114" s="196"/>
      <c r="Q114" s="196"/>
      <c r="R114" s="196"/>
      <c r="S114" s="196"/>
      <c r="T114" s="196"/>
      <c r="U114" s="196"/>
      <c r="V114" s="196"/>
      <c r="W114" s="196"/>
    </row>
    <row r="115" spans="1:23" ht="15" customHeight="1" x14ac:dyDescent="0.25">
      <c r="A115" s="2207" t="str">
        <f>'Org structure'!A13</f>
        <v>Vote 12 - 106 CORPORATE SERVICES</v>
      </c>
      <c r="B115" s="1041"/>
      <c r="C115" s="971">
        <f t="shared" ref="C115:K115" si="19">SUM(C116:C119)</f>
        <v>0</v>
      </c>
      <c r="D115" s="971">
        <f t="shared" si="19"/>
        <v>0</v>
      </c>
      <c r="E115" s="972">
        <f t="shared" si="19"/>
        <v>0</v>
      </c>
      <c r="F115" s="973">
        <f t="shared" si="19"/>
        <v>0</v>
      </c>
      <c r="G115" s="971">
        <f t="shared" si="19"/>
        <v>0</v>
      </c>
      <c r="H115" s="974">
        <f t="shared" si="19"/>
        <v>0</v>
      </c>
      <c r="I115" s="975">
        <f t="shared" si="19"/>
        <v>0</v>
      </c>
      <c r="J115" s="971">
        <f t="shared" si="19"/>
        <v>0</v>
      </c>
      <c r="K115" s="2673">
        <f t="shared" si="19"/>
        <v>0</v>
      </c>
      <c r="L115" s="195"/>
      <c r="M115" s="196"/>
      <c r="N115" s="196"/>
      <c r="O115" s="196"/>
      <c r="P115" s="196"/>
      <c r="Q115" s="196"/>
      <c r="R115" s="196"/>
      <c r="S115" s="196"/>
      <c r="T115" s="196"/>
      <c r="U115" s="196"/>
      <c r="V115" s="196"/>
      <c r="W115" s="196"/>
    </row>
    <row r="116" spans="1:23" ht="11.25" customHeight="1" x14ac:dyDescent="0.25">
      <c r="A116" s="1165"/>
      <c r="B116" s="1041"/>
      <c r="C116" s="1621"/>
      <c r="D116" s="1621"/>
      <c r="E116" s="1622"/>
      <c r="F116" s="1623"/>
      <c r="G116" s="1621"/>
      <c r="H116" s="1624"/>
      <c r="I116" s="1625"/>
      <c r="J116" s="1621"/>
      <c r="K116" s="2674"/>
      <c r="L116" s="195"/>
      <c r="M116" s="196"/>
      <c r="N116" s="196"/>
      <c r="O116" s="196"/>
      <c r="P116" s="196"/>
      <c r="Q116" s="196"/>
      <c r="R116" s="196"/>
      <c r="S116" s="196"/>
      <c r="T116" s="196"/>
      <c r="U116" s="196"/>
      <c r="V116" s="196"/>
      <c r="W116" s="196"/>
    </row>
    <row r="117" spans="1:23" ht="11.25" customHeight="1" x14ac:dyDescent="0.25">
      <c r="A117" s="1165">
        <f>'Org structure'!E131</f>
        <v>0</v>
      </c>
      <c r="B117" s="1041"/>
      <c r="C117" s="1621"/>
      <c r="D117" s="1621"/>
      <c r="E117" s="1622"/>
      <c r="F117" s="1623"/>
      <c r="G117" s="1621"/>
      <c r="H117" s="1624"/>
      <c r="I117" s="1625"/>
      <c r="J117" s="1621"/>
      <c r="K117" s="2674"/>
      <c r="L117" s="195"/>
      <c r="M117" s="196"/>
      <c r="N117" s="196"/>
      <c r="O117" s="196"/>
      <c r="P117" s="196"/>
      <c r="Q117" s="196"/>
      <c r="R117" s="196"/>
      <c r="S117" s="196"/>
      <c r="T117" s="196"/>
      <c r="U117" s="196"/>
      <c r="V117" s="196"/>
      <c r="W117" s="196"/>
    </row>
    <row r="118" spans="1:23" ht="11.25" customHeight="1" x14ac:dyDescent="0.25">
      <c r="A118" s="1165">
        <f>'Org structure'!E132</f>
        <v>0</v>
      </c>
      <c r="B118" s="1041"/>
      <c r="C118" s="1621"/>
      <c r="D118" s="1621"/>
      <c r="E118" s="1622"/>
      <c r="F118" s="1623"/>
      <c r="G118" s="1621"/>
      <c r="H118" s="1624"/>
      <c r="I118" s="1625"/>
      <c r="J118" s="1621"/>
      <c r="K118" s="2674"/>
      <c r="L118" s="195"/>
      <c r="M118" s="196"/>
      <c r="N118" s="196"/>
      <c r="O118" s="196"/>
      <c r="P118" s="196"/>
      <c r="Q118" s="196"/>
      <c r="R118" s="196"/>
      <c r="S118" s="196"/>
      <c r="T118" s="196"/>
      <c r="U118" s="196"/>
      <c r="V118" s="196"/>
      <c r="W118" s="196"/>
    </row>
    <row r="119" spans="1:23" ht="11.25" customHeight="1" x14ac:dyDescent="0.25">
      <c r="A119" s="1165">
        <f>'Org structure'!E133</f>
        <v>0</v>
      </c>
      <c r="B119" s="1041"/>
      <c r="C119" s="1621"/>
      <c r="D119" s="1621"/>
      <c r="E119" s="1622"/>
      <c r="F119" s="1623"/>
      <c r="G119" s="1621"/>
      <c r="H119" s="1624"/>
      <c r="I119" s="1625"/>
      <c r="J119" s="1621"/>
      <c r="K119" s="2674"/>
      <c r="L119" s="195"/>
      <c r="M119" s="196"/>
      <c r="N119" s="196"/>
      <c r="O119" s="196"/>
      <c r="P119" s="196"/>
      <c r="Q119" s="196"/>
      <c r="R119" s="196"/>
      <c r="S119" s="196"/>
      <c r="T119" s="196"/>
      <c r="U119" s="196"/>
      <c r="V119" s="196"/>
      <c r="W119" s="196"/>
    </row>
    <row r="120" spans="1:23" ht="15" customHeight="1" x14ac:dyDescent="0.25">
      <c r="A120" s="2207" t="str">
        <f>'Org structure'!A14</f>
        <v>Vote 13 - 107 COMMUNITY SERVICES</v>
      </c>
      <c r="B120" s="1041"/>
      <c r="C120" s="971">
        <f t="shared" ref="C120:K120" si="20">SUM(C121:C133)</f>
        <v>0</v>
      </c>
      <c r="D120" s="971">
        <f t="shared" si="20"/>
        <v>2114091</v>
      </c>
      <c r="E120" s="972">
        <f t="shared" si="20"/>
        <v>4240544.3900000006</v>
      </c>
      <c r="F120" s="973">
        <f t="shared" si="20"/>
        <v>1290129.01</v>
      </c>
      <c r="G120" s="971">
        <f t="shared" si="20"/>
        <v>2061606</v>
      </c>
      <c r="H120" s="974">
        <f t="shared" si="20"/>
        <v>2061606</v>
      </c>
      <c r="I120" s="975">
        <f t="shared" si="20"/>
        <v>21215197.860000003</v>
      </c>
      <c r="J120" s="971">
        <f t="shared" si="20"/>
        <v>22466894.533739995</v>
      </c>
      <c r="K120" s="971">
        <f t="shared" si="20"/>
        <v>23725040.627629437</v>
      </c>
      <c r="L120" s="195"/>
      <c r="M120" s="196"/>
      <c r="N120" s="196"/>
      <c r="O120" s="196"/>
      <c r="P120" s="196"/>
      <c r="Q120" s="196"/>
      <c r="R120" s="196"/>
      <c r="S120" s="196"/>
      <c r="T120" s="196"/>
      <c r="U120" s="196"/>
      <c r="V120" s="196"/>
      <c r="W120" s="196"/>
    </row>
    <row r="121" spans="1:23" ht="11.25" customHeight="1" x14ac:dyDescent="0.25">
      <c r="A121" s="1165" t="s">
        <v>2358</v>
      </c>
      <c r="B121" s="1041"/>
      <c r="C121" s="1621">
        <v>0</v>
      </c>
      <c r="D121" s="1622">
        <v>293118</v>
      </c>
      <c r="E121" s="1623">
        <v>569390.85</v>
      </c>
      <c r="F121" s="1625">
        <v>421044.73</v>
      </c>
      <c r="G121" s="1044">
        <f>F121+314931.27</f>
        <v>735976</v>
      </c>
      <c r="H121" s="1044">
        <f>G121</f>
        <v>735976</v>
      </c>
      <c r="I121" s="1625">
        <v>15778663</v>
      </c>
      <c r="J121" s="1621">
        <v>16709604.116999999</v>
      </c>
      <c r="K121" s="1621">
        <v>17645341.947551999</v>
      </c>
      <c r="L121" s="195"/>
      <c r="M121" s="196"/>
      <c r="N121" s="196"/>
      <c r="O121" s="196"/>
      <c r="P121" s="196"/>
      <c r="Q121" s="196"/>
      <c r="R121" s="196"/>
      <c r="S121" s="196"/>
      <c r="T121" s="196"/>
      <c r="U121" s="196"/>
      <c r="V121" s="196"/>
      <c r="W121" s="196"/>
    </row>
    <row r="122" spans="1:23" ht="11.25" customHeight="1" x14ac:dyDescent="0.25">
      <c r="A122" s="1165" t="s">
        <v>2318</v>
      </c>
      <c r="B122" s="1041"/>
      <c r="C122" s="1621">
        <v>0</v>
      </c>
      <c r="D122" s="1622">
        <v>182323</v>
      </c>
      <c r="E122" s="1623">
        <v>274752.93</v>
      </c>
      <c r="F122" s="1625">
        <v>35201.01</v>
      </c>
      <c r="G122" s="1044">
        <f>F122+398110.99</f>
        <v>433312</v>
      </c>
      <c r="H122" s="1044">
        <f t="shared" ref="H122:H128" si="21">G122</f>
        <v>433312</v>
      </c>
      <c r="I122" s="1625">
        <v>458444.1</v>
      </c>
      <c r="J122" s="1621">
        <f t="shared" ref="J122:J131" si="22">I122*1.059</f>
        <v>485492.30189999996</v>
      </c>
      <c r="K122" s="1621">
        <f t="shared" ref="K122:K131" si="23">J122*1.056</f>
        <v>512679.87080639997</v>
      </c>
      <c r="L122" s="195"/>
      <c r="M122" s="196"/>
      <c r="N122" s="196"/>
      <c r="O122" s="196"/>
      <c r="P122" s="196"/>
      <c r="Q122" s="196"/>
      <c r="R122" s="196"/>
      <c r="S122" s="196"/>
      <c r="T122" s="196"/>
      <c r="U122" s="196"/>
      <c r="V122" s="196"/>
      <c r="W122" s="196"/>
    </row>
    <row r="123" spans="1:23" ht="11.25" customHeight="1" x14ac:dyDescent="0.25">
      <c r="A123" s="1165" t="s">
        <v>2357</v>
      </c>
      <c r="B123" s="1041"/>
      <c r="C123" s="1621">
        <v>0</v>
      </c>
      <c r="D123" s="1622">
        <v>1541582</v>
      </c>
      <c r="E123" s="1623">
        <v>414536.88</v>
      </c>
      <c r="F123" s="1625">
        <v>462232.38</v>
      </c>
      <c r="G123" s="1044">
        <f>F123+-101738.38</f>
        <v>360494</v>
      </c>
      <c r="H123" s="1044">
        <f t="shared" si="21"/>
        <v>360494</v>
      </c>
      <c r="I123" s="1625">
        <v>4381000</v>
      </c>
      <c r="J123" s="1621">
        <v>4639479</v>
      </c>
      <c r="K123" s="1621">
        <v>4899289.824</v>
      </c>
      <c r="L123" s="195"/>
      <c r="M123" s="196"/>
      <c r="N123" s="196"/>
      <c r="O123" s="196"/>
      <c r="P123" s="196"/>
      <c r="Q123" s="196"/>
      <c r="R123" s="196"/>
      <c r="S123" s="196"/>
      <c r="T123" s="196"/>
      <c r="U123" s="196"/>
      <c r="V123" s="196"/>
      <c r="W123" s="196"/>
    </row>
    <row r="124" spans="1:23" ht="11.25" customHeight="1" x14ac:dyDescent="0.25">
      <c r="A124" s="1165" t="s">
        <v>2359</v>
      </c>
      <c r="B124" s="1041"/>
      <c r="C124" s="1621">
        <v>0</v>
      </c>
      <c r="D124" s="1622">
        <v>36667</v>
      </c>
      <c r="E124" s="1623">
        <v>99016.57</v>
      </c>
      <c r="F124" s="1625">
        <v>99408.02</v>
      </c>
      <c r="G124" s="1044">
        <f>F124+66249.98</f>
        <v>165658</v>
      </c>
      <c r="H124" s="1044">
        <f t="shared" si="21"/>
        <v>165658</v>
      </c>
      <c r="I124" s="1625">
        <v>175266.16</v>
      </c>
      <c r="J124" s="1621">
        <f t="shared" si="22"/>
        <v>185606.86343999999</v>
      </c>
      <c r="K124" s="1621">
        <f t="shared" si="23"/>
        <v>196000.84779264001</v>
      </c>
      <c r="L124" s="195"/>
      <c r="M124" s="196"/>
      <c r="N124" s="196"/>
      <c r="O124" s="196"/>
      <c r="P124" s="196"/>
      <c r="Q124" s="196"/>
      <c r="R124" s="196"/>
      <c r="S124" s="196"/>
      <c r="T124" s="196"/>
      <c r="U124" s="196"/>
      <c r="V124" s="196"/>
      <c r="W124" s="196"/>
    </row>
    <row r="125" spans="1:23" ht="11.25" customHeight="1" x14ac:dyDescent="0.25">
      <c r="A125" s="1165" t="s">
        <v>2322</v>
      </c>
      <c r="B125" s="1041"/>
      <c r="C125" s="1621">
        <v>0</v>
      </c>
      <c r="D125" s="1622">
        <v>60401</v>
      </c>
      <c r="E125" s="1623">
        <v>176313.4</v>
      </c>
      <c r="F125" s="1625">
        <v>202712.94</v>
      </c>
      <c r="G125" s="1044">
        <f>F125+92313.06</f>
        <v>295026</v>
      </c>
      <c r="H125" s="1044">
        <f t="shared" si="21"/>
        <v>295026</v>
      </c>
      <c r="I125" s="1625">
        <v>312137.51</v>
      </c>
      <c r="J125" s="1621">
        <f t="shared" si="22"/>
        <v>330553.62309000001</v>
      </c>
      <c r="K125" s="1621">
        <f t="shared" si="23"/>
        <v>349064.62598304002</v>
      </c>
      <c r="L125" s="195"/>
      <c r="M125" s="196"/>
      <c r="N125" s="196"/>
      <c r="O125" s="196"/>
      <c r="P125" s="196"/>
      <c r="Q125" s="196"/>
      <c r="R125" s="196"/>
      <c r="S125" s="196"/>
      <c r="T125" s="196"/>
      <c r="U125" s="196"/>
      <c r="V125" s="196"/>
      <c r="W125" s="196"/>
    </row>
    <row r="126" spans="1:23" ht="11.25" customHeight="1" x14ac:dyDescent="0.25">
      <c r="A126" s="1165" t="s">
        <v>2361</v>
      </c>
      <c r="B126" s="1041"/>
      <c r="C126" s="1621">
        <v>0</v>
      </c>
      <c r="D126" s="1622">
        <v>0</v>
      </c>
      <c r="E126" s="1623">
        <v>8085.12</v>
      </c>
      <c r="F126" s="1625">
        <v>6672.93</v>
      </c>
      <c r="G126" s="1044">
        <f>F126+-4124.93</f>
        <v>2548</v>
      </c>
      <c r="H126" s="1044">
        <f t="shared" si="21"/>
        <v>2548</v>
      </c>
      <c r="I126" s="1625">
        <v>2696.84</v>
      </c>
      <c r="J126" s="1621">
        <f t="shared" si="22"/>
        <v>2855.9535599999999</v>
      </c>
      <c r="K126" s="1621">
        <f t="shared" si="23"/>
        <v>3015.8869593600002</v>
      </c>
      <c r="L126" s="195"/>
      <c r="M126" s="196"/>
      <c r="N126" s="196"/>
      <c r="O126" s="196"/>
      <c r="P126" s="196"/>
      <c r="Q126" s="196"/>
      <c r="R126" s="196"/>
      <c r="S126" s="196"/>
      <c r="T126" s="196"/>
      <c r="U126" s="196"/>
      <c r="V126" s="196"/>
      <c r="W126" s="196"/>
    </row>
    <row r="127" spans="1:23" ht="11.25" customHeight="1" x14ac:dyDescent="0.25">
      <c r="A127" s="1165" t="s">
        <v>2336</v>
      </c>
      <c r="B127" s="1041"/>
      <c r="C127" s="1621">
        <v>0</v>
      </c>
      <c r="D127" s="1622"/>
      <c r="E127" s="1623">
        <v>6946.75</v>
      </c>
      <c r="F127" s="1625">
        <v>0</v>
      </c>
      <c r="G127" s="1044">
        <f>F127+10578</f>
        <v>10578</v>
      </c>
      <c r="H127" s="1044">
        <f t="shared" si="21"/>
        <v>10578</v>
      </c>
      <c r="I127" s="1625">
        <v>11191.52</v>
      </c>
      <c r="J127" s="1621">
        <f t="shared" si="22"/>
        <v>11851.819680000001</v>
      </c>
      <c r="K127" s="1621">
        <f t="shared" si="23"/>
        <v>12515.52158208</v>
      </c>
      <c r="L127" s="195"/>
      <c r="M127" s="196"/>
      <c r="N127" s="196"/>
      <c r="O127" s="196"/>
      <c r="P127" s="196"/>
      <c r="Q127" s="196"/>
      <c r="R127" s="196"/>
      <c r="S127" s="196"/>
      <c r="T127" s="196"/>
      <c r="U127" s="196"/>
      <c r="V127" s="196"/>
      <c r="W127" s="196"/>
    </row>
    <row r="128" spans="1:23" ht="11.25" customHeight="1" x14ac:dyDescent="0.25">
      <c r="A128" s="1165" t="s">
        <v>2360</v>
      </c>
      <c r="B128" s="1041"/>
      <c r="C128" s="1621">
        <v>0</v>
      </c>
      <c r="D128" s="1622">
        <v>0</v>
      </c>
      <c r="E128" s="1623">
        <v>53911.47</v>
      </c>
      <c r="F128" s="1625">
        <v>62857</v>
      </c>
      <c r="G128" s="1044">
        <f>F128+-4843</f>
        <v>58014</v>
      </c>
      <c r="H128" s="1044">
        <f t="shared" si="21"/>
        <v>58014</v>
      </c>
      <c r="I128" s="1625">
        <v>61378.81</v>
      </c>
      <c r="J128" s="1621">
        <f t="shared" si="22"/>
        <v>65000.159789999991</v>
      </c>
      <c r="K128" s="1621">
        <f t="shared" si="23"/>
        <v>68640.168738239998</v>
      </c>
      <c r="L128" s="195"/>
      <c r="M128" s="196"/>
      <c r="N128" s="196"/>
      <c r="O128" s="196"/>
      <c r="P128" s="196"/>
      <c r="Q128" s="196"/>
      <c r="R128" s="196"/>
      <c r="S128" s="196"/>
      <c r="T128" s="196"/>
      <c r="U128" s="196"/>
      <c r="V128" s="196"/>
      <c r="W128" s="196"/>
    </row>
    <row r="129" spans="1:23" ht="11.25" customHeight="1" x14ac:dyDescent="0.25">
      <c r="A129" s="1165" t="s">
        <v>2616</v>
      </c>
      <c r="B129" s="1041"/>
      <c r="C129" s="1621">
        <v>0</v>
      </c>
      <c r="D129" s="1624">
        <v>0</v>
      </c>
      <c r="E129" s="1624">
        <v>2637590.42</v>
      </c>
      <c r="F129" s="1623"/>
      <c r="G129" s="1044"/>
      <c r="H129" s="1047"/>
      <c r="I129" s="1621"/>
      <c r="J129" s="1621">
        <f t="shared" si="22"/>
        <v>0</v>
      </c>
      <c r="K129" s="1621">
        <f t="shared" si="23"/>
        <v>0</v>
      </c>
      <c r="L129" s="195"/>
      <c r="M129" s="196"/>
      <c r="N129" s="196"/>
      <c r="O129" s="196"/>
      <c r="P129" s="196"/>
      <c r="Q129" s="196"/>
      <c r="R129" s="196"/>
      <c r="S129" s="196"/>
      <c r="T129" s="196"/>
      <c r="U129" s="196"/>
      <c r="V129" s="196"/>
      <c r="W129" s="196"/>
    </row>
    <row r="130" spans="1:23" ht="11.25" customHeight="1" x14ac:dyDescent="0.25">
      <c r="A130" s="1165" t="s">
        <v>2337</v>
      </c>
      <c r="B130" s="1041"/>
      <c r="C130" s="1621">
        <v>0</v>
      </c>
      <c r="D130" s="1621">
        <v>0</v>
      </c>
      <c r="E130" s="1622">
        <v>0</v>
      </c>
      <c r="F130" s="1623">
        <v>0</v>
      </c>
      <c r="G130" s="1621">
        <v>0</v>
      </c>
      <c r="H130" s="1625">
        <v>0</v>
      </c>
      <c r="I130" s="1621">
        <v>23077.1</v>
      </c>
      <c r="J130" s="1621">
        <f t="shared" si="22"/>
        <v>24438.648899999997</v>
      </c>
      <c r="K130" s="1621">
        <f t="shared" si="23"/>
        <v>25807.213238399996</v>
      </c>
      <c r="L130" s="195"/>
      <c r="M130" s="196"/>
      <c r="N130" s="196"/>
      <c r="O130" s="196"/>
      <c r="P130" s="196"/>
      <c r="Q130" s="196"/>
      <c r="R130" s="196"/>
      <c r="S130" s="196"/>
      <c r="T130" s="196"/>
      <c r="U130" s="196"/>
      <c r="V130" s="196"/>
      <c r="W130" s="196"/>
    </row>
    <row r="131" spans="1:23" ht="11.25" customHeight="1" x14ac:dyDescent="0.25">
      <c r="A131" s="1165" t="s">
        <v>2338</v>
      </c>
      <c r="B131" s="1041"/>
      <c r="C131" s="1621">
        <v>0</v>
      </c>
      <c r="D131" s="1621">
        <v>0</v>
      </c>
      <c r="E131" s="1622">
        <v>0</v>
      </c>
      <c r="F131" s="1623">
        <v>0</v>
      </c>
      <c r="G131" s="1621">
        <v>0</v>
      </c>
      <c r="H131" s="1625">
        <v>0</v>
      </c>
      <c r="I131" s="1621">
        <v>11342.82</v>
      </c>
      <c r="J131" s="1621">
        <f t="shared" si="22"/>
        <v>12012.04638</v>
      </c>
      <c r="K131" s="1621">
        <f t="shared" si="23"/>
        <v>12684.72097728</v>
      </c>
      <c r="L131" s="195"/>
      <c r="M131" s="196"/>
      <c r="N131" s="196"/>
      <c r="O131" s="196"/>
      <c r="P131" s="196"/>
      <c r="Q131" s="196"/>
      <c r="R131" s="196"/>
      <c r="S131" s="196"/>
      <c r="T131" s="196"/>
      <c r="U131" s="196"/>
      <c r="V131" s="196"/>
      <c r="W131" s="196"/>
    </row>
    <row r="132" spans="1:23" ht="11.25" customHeight="1" x14ac:dyDescent="0.25">
      <c r="A132" s="1165">
        <f>'Org structure'!E143</f>
        <v>0</v>
      </c>
      <c r="B132" s="1041"/>
      <c r="C132" s="1621"/>
      <c r="D132" s="1621"/>
      <c r="E132" s="1622"/>
      <c r="F132" s="1623"/>
      <c r="G132" s="1621"/>
      <c r="H132" s="1625"/>
      <c r="I132" s="1621"/>
      <c r="J132" s="2674"/>
      <c r="K132" s="2674"/>
      <c r="L132" s="195"/>
      <c r="M132" s="196"/>
      <c r="N132" s="196"/>
      <c r="O132" s="196"/>
      <c r="P132" s="196"/>
      <c r="Q132" s="196"/>
      <c r="R132" s="196"/>
      <c r="S132" s="196"/>
      <c r="T132" s="196"/>
      <c r="U132" s="196"/>
      <c r="V132" s="196"/>
      <c r="W132" s="196"/>
    </row>
    <row r="133" spans="1:23" ht="11.25" customHeight="1" x14ac:dyDescent="0.25">
      <c r="A133" s="1165">
        <f>'Org structure'!E144</f>
        <v>0</v>
      </c>
      <c r="B133" s="1041"/>
      <c r="C133" s="1621"/>
      <c r="D133" s="1621"/>
      <c r="E133" s="1622"/>
      <c r="F133" s="1623"/>
      <c r="G133" s="1621"/>
      <c r="H133" s="1624"/>
      <c r="I133" s="1625"/>
      <c r="J133" s="1621"/>
      <c r="K133" s="2674"/>
      <c r="L133" s="195"/>
      <c r="M133" s="196"/>
      <c r="N133" s="196"/>
      <c r="O133" s="196"/>
      <c r="P133" s="196"/>
      <c r="Q133" s="196"/>
      <c r="R133" s="196"/>
      <c r="S133" s="196"/>
      <c r="T133" s="196"/>
      <c r="U133" s="196"/>
      <c r="V133" s="196"/>
      <c r="W133" s="196"/>
    </row>
    <row r="134" spans="1:23" ht="15" customHeight="1" x14ac:dyDescent="0.25">
      <c r="A134" s="2207" t="str">
        <f>'Org structure'!A15</f>
        <v>Vote 14 - 108 PUBLIC SAFETY &amp; ROADS</v>
      </c>
      <c r="B134" s="1041"/>
      <c r="C134" s="971">
        <f t="shared" ref="C134:K134" si="24">SUM(C135:C142)</f>
        <v>0</v>
      </c>
      <c r="D134" s="971">
        <f t="shared" si="24"/>
        <v>2283713</v>
      </c>
      <c r="E134" s="972">
        <f t="shared" si="24"/>
        <v>7151770.6500000004</v>
      </c>
      <c r="F134" s="973">
        <f t="shared" si="24"/>
        <v>6276926.6900000004</v>
      </c>
      <c r="G134" s="971">
        <f t="shared" si="24"/>
        <v>6738901.5999999996</v>
      </c>
      <c r="H134" s="974">
        <f t="shared" si="24"/>
        <v>6738901.5999999996</v>
      </c>
      <c r="I134" s="975">
        <f t="shared" si="24"/>
        <v>7636400</v>
      </c>
      <c r="J134" s="971">
        <f t="shared" si="24"/>
        <v>8086947.5999999996</v>
      </c>
      <c r="K134" s="971">
        <f t="shared" si="24"/>
        <v>8539816.6655999999</v>
      </c>
      <c r="L134" s="195"/>
      <c r="M134" s="196"/>
      <c r="N134" s="196"/>
      <c r="O134" s="196"/>
      <c r="P134" s="196"/>
      <c r="Q134" s="196"/>
      <c r="R134" s="196"/>
      <c r="S134" s="196"/>
      <c r="T134" s="196"/>
      <c r="U134" s="196"/>
      <c r="V134" s="196"/>
      <c r="W134" s="196"/>
    </row>
    <row r="135" spans="1:23" ht="11.25" customHeight="1" x14ac:dyDescent="0.25">
      <c r="A135" s="1165" t="s">
        <v>2370</v>
      </c>
      <c r="B135" s="1041"/>
      <c r="C135" s="1623">
        <v>0</v>
      </c>
      <c r="D135" s="1625">
        <v>0</v>
      </c>
      <c r="E135" s="1625">
        <v>0</v>
      </c>
      <c r="F135" s="1623">
        <v>0</v>
      </c>
      <c r="G135" s="1621">
        <v>0</v>
      </c>
      <c r="H135" s="1624">
        <f>G135</f>
        <v>0</v>
      </c>
      <c r="I135" s="1625">
        <v>0</v>
      </c>
      <c r="J135" s="1621">
        <f>I135*1.055</f>
        <v>0</v>
      </c>
      <c r="K135" s="2674">
        <f>J135*1.053</f>
        <v>0</v>
      </c>
      <c r="L135" s="195"/>
      <c r="M135" s="196"/>
      <c r="N135" s="196"/>
      <c r="O135" s="196"/>
      <c r="P135" s="196"/>
      <c r="Q135" s="196"/>
      <c r="R135" s="196"/>
      <c r="S135" s="196"/>
      <c r="T135" s="196"/>
      <c r="U135" s="196"/>
      <c r="V135" s="196"/>
      <c r="W135" s="196"/>
    </row>
    <row r="136" spans="1:23" ht="11.25" customHeight="1" x14ac:dyDescent="0.25">
      <c r="A136" s="1165" t="s">
        <v>2371</v>
      </c>
      <c r="B136" s="1041"/>
      <c r="C136" s="1623">
        <v>0</v>
      </c>
      <c r="D136" s="1625">
        <v>0</v>
      </c>
      <c r="E136" s="1625">
        <v>0</v>
      </c>
      <c r="F136" s="1623">
        <v>0</v>
      </c>
      <c r="G136" s="1621">
        <v>0</v>
      </c>
      <c r="H136" s="1624">
        <f>G136</f>
        <v>0</v>
      </c>
      <c r="I136" s="1625">
        <v>0</v>
      </c>
      <c r="J136" s="1621">
        <f>I136*1.055</f>
        <v>0</v>
      </c>
      <c r="K136" s="2674">
        <f>J136*1.053</f>
        <v>0</v>
      </c>
      <c r="L136" s="195"/>
      <c r="M136" s="196"/>
      <c r="N136" s="196"/>
      <c r="O136" s="196"/>
      <c r="P136" s="196"/>
      <c r="Q136" s="196"/>
      <c r="R136" s="196"/>
      <c r="S136" s="196"/>
      <c r="T136" s="196"/>
      <c r="U136" s="196"/>
      <c r="V136" s="196"/>
      <c r="W136" s="196"/>
    </row>
    <row r="137" spans="1:23" ht="11.25" customHeight="1" x14ac:dyDescent="0.25">
      <c r="A137" s="1165" t="s">
        <v>2372</v>
      </c>
      <c r="B137" s="1041"/>
      <c r="C137" s="1623">
        <v>0</v>
      </c>
      <c r="D137" s="1625">
        <v>112893</v>
      </c>
      <c r="E137" s="1625">
        <v>301459.58</v>
      </c>
      <c r="F137" s="1625">
        <v>476926.69</v>
      </c>
      <c r="G137" s="1044">
        <f>F137+461974.91</f>
        <v>938901.6</v>
      </c>
      <c r="H137" s="1624">
        <f>G137</f>
        <v>938901.6</v>
      </c>
      <c r="I137" s="1625">
        <v>1500000</v>
      </c>
      <c r="J137" s="1621">
        <f>I137*1.059</f>
        <v>1588500</v>
      </c>
      <c r="K137" s="1621">
        <f>J137*1.056</f>
        <v>1677456</v>
      </c>
      <c r="L137" s="195"/>
      <c r="M137" s="196"/>
      <c r="N137" s="196"/>
      <c r="O137" s="196"/>
      <c r="P137" s="196"/>
      <c r="Q137" s="196"/>
      <c r="R137" s="196"/>
      <c r="S137" s="196"/>
      <c r="T137" s="196"/>
      <c r="U137" s="196"/>
      <c r="V137" s="196"/>
      <c r="W137" s="196"/>
    </row>
    <row r="138" spans="1:23" ht="11.25" customHeight="1" x14ac:dyDescent="0.25">
      <c r="A138" s="1165" t="s">
        <v>2373</v>
      </c>
      <c r="B138" s="1041"/>
      <c r="C138" s="1623">
        <v>0</v>
      </c>
      <c r="D138" s="1625">
        <v>0</v>
      </c>
      <c r="E138" s="1625">
        <v>0</v>
      </c>
      <c r="F138" s="1623">
        <v>0</v>
      </c>
      <c r="G138" s="1621">
        <v>0</v>
      </c>
      <c r="H138" s="1624">
        <f>G138</f>
        <v>0</v>
      </c>
      <c r="I138" s="1625">
        <v>0</v>
      </c>
      <c r="J138" s="1621">
        <f>I138*1.059</f>
        <v>0</v>
      </c>
      <c r="K138" s="1621">
        <f>J138*1.056</f>
        <v>0</v>
      </c>
      <c r="L138" s="195"/>
      <c r="M138" s="196"/>
      <c r="N138" s="196"/>
      <c r="O138" s="196"/>
      <c r="P138" s="196"/>
      <c r="Q138" s="196"/>
      <c r="R138" s="196"/>
      <c r="S138" s="196"/>
      <c r="T138" s="196"/>
      <c r="U138" s="196"/>
      <c r="V138" s="196"/>
      <c r="W138" s="196"/>
    </row>
    <row r="139" spans="1:23" ht="11.25" customHeight="1" x14ac:dyDescent="0.25">
      <c r="A139" s="1165" t="s">
        <v>2374</v>
      </c>
      <c r="B139" s="1041"/>
      <c r="C139" s="1623">
        <v>0</v>
      </c>
      <c r="D139" s="1625">
        <v>2170820</v>
      </c>
      <c r="E139" s="1625">
        <v>6850311.0700000003</v>
      </c>
      <c r="F139" s="1625">
        <v>5800000</v>
      </c>
      <c r="G139" s="1621">
        <f>F139</f>
        <v>5800000</v>
      </c>
      <c r="H139" s="1624">
        <f>G139</f>
        <v>5800000</v>
      </c>
      <c r="I139" s="1625">
        <v>6136400</v>
      </c>
      <c r="J139" s="1621">
        <f>I139*1.059</f>
        <v>6498447.5999999996</v>
      </c>
      <c r="K139" s="1621">
        <f>J139*1.056</f>
        <v>6862360.6655999999</v>
      </c>
      <c r="L139" s="195"/>
      <c r="M139" s="196"/>
      <c r="N139" s="196"/>
      <c r="O139" s="196"/>
      <c r="P139" s="196"/>
      <c r="Q139" s="196"/>
      <c r="R139" s="196"/>
      <c r="S139" s="196"/>
      <c r="T139" s="196"/>
      <c r="U139" s="196"/>
      <c r="V139" s="196"/>
      <c r="W139" s="196"/>
    </row>
    <row r="140" spans="1:23" ht="11.25" customHeight="1" x14ac:dyDescent="0.25">
      <c r="A140" s="1165"/>
      <c r="B140" s="1041"/>
      <c r="C140" s="1621"/>
      <c r="D140" s="1621"/>
      <c r="E140" s="1622"/>
      <c r="F140" s="1623"/>
      <c r="G140" s="1621"/>
      <c r="H140" s="1624"/>
      <c r="I140" s="1625"/>
      <c r="J140" s="1621"/>
      <c r="K140" s="2674"/>
      <c r="L140" s="195"/>
      <c r="M140" s="196"/>
      <c r="N140" s="196"/>
      <c r="O140" s="196"/>
      <c r="P140" s="196"/>
      <c r="Q140" s="196"/>
      <c r="R140" s="196"/>
      <c r="S140" s="196"/>
      <c r="T140" s="196"/>
      <c r="U140" s="196"/>
      <c r="V140" s="196"/>
      <c r="W140" s="196"/>
    </row>
    <row r="141" spans="1:23" ht="11.25" customHeight="1" x14ac:dyDescent="0.25">
      <c r="A141" s="1165">
        <f>'Org structure'!E154</f>
        <v>0</v>
      </c>
      <c r="B141" s="1041"/>
      <c r="C141" s="1621"/>
      <c r="D141" s="1621"/>
      <c r="E141" s="1622"/>
      <c r="F141" s="1623"/>
      <c r="G141" s="1621"/>
      <c r="H141" s="1624"/>
      <c r="I141" s="1625"/>
      <c r="J141" s="1621"/>
      <c r="K141" s="2674"/>
      <c r="L141" s="195"/>
      <c r="M141" s="196"/>
      <c r="N141" s="196"/>
      <c r="O141" s="196"/>
      <c r="P141" s="196"/>
      <c r="Q141" s="196"/>
      <c r="R141" s="196"/>
      <c r="S141" s="196"/>
      <c r="T141" s="196"/>
      <c r="U141" s="196"/>
      <c r="V141" s="196"/>
      <c r="W141" s="196"/>
    </row>
    <row r="142" spans="1:23" ht="11.25" customHeight="1" x14ac:dyDescent="0.25">
      <c r="A142" s="1165">
        <f>'Org structure'!E155</f>
        <v>0</v>
      </c>
      <c r="B142" s="1041"/>
      <c r="C142" s="1621"/>
      <c r="D142" s="1621"/>
      <c r="E142" s="1622"/>
      <c r="F142" s="1623"/>
      <c r="G142" s="1621"/>
      <c r="H142" s="1624"/>
      <c r="I142" s="1625"/>
      <c r="J142" s="1621"/>
      <c r="K142" s="2674"/>
      <c r="L142" s="195"/>
      <c r="M142" s="196"/>
      <c r="N142" s="196"/>
      <c r="O142" s="196"/>
      <c r="P142" s="196"/>
      <c r="Q142" s="196"/>
      <c r="R142" s="196"/>
      <c r="S142" s="196"/>
      <c r="T142" s="196"/>
      <c r="U142" s="196"/>
      <c r="V142" s="196"/>
      <c r="W142" s="196"/>
    </row>
    <row r="143" spans="1:23" ht="15" customHeight="1" x14ac:dyDescent="0.25">
      <c r="A143" s="2207" t="str">
        <f>'Org structure'!A16</f>
        <v>Vote 15 - 300 SPORTS,RECREATION ARTS,CULTURE AND PROPERTY SERVICES</v>
      </c>
      <c r="B143" s="1041"/>
      <c r="C143" s="971">
        <f t="shared" ref="C143:K143" si="25">SUM(C144:C152)</f>
        <v>0</v>
      </c>
      <c r="D143" s="971">
        <f t="shared" si="25"/>
        <v>121420</v>
      </c>
      <c r="E143" s="972">
        <f t="shared" si="25"/>
        <v>97144.639999999999</v>
      </c>
      <c r="F143" s="973">
        <f t="shared" si="25"/>
        <v>100117.20000000001</v>
      </c>
      <c r="G143" s="971">
        <f t="shared" si="25"/>
        <v>101093.3</v>
      </c>
      <c r="H143" s="974">
        <f t="shared" si="25"/>
        <v>101093.3</v>
      </c>
      <c r="I143" s="975">
        <f t="shared" si="25"/>
        <v>106956.4</v>
      </c>
      <c r="J143" s="971">
        <f t="shared" si="25"/>
        <v>113266.82759999999</v>
      </c>
      <c r="K143" s="971">
        <f t="shared" si="25"/>
        <v>119609.76994559998</v>
      </c>
      <c r="L143" s="195"/>
      <c r="M143" s="196"/>
      <c r="N143" s="196"/>
      <c r="O143" s="196"/>
      <c r="P143" s="196"/>
      <c r="Q143" s="196"/>
      <c r="R143" s="196"/>
      <c r="S143" s="196"/>
      <c r="T143" s="196"/>
      <c r="U143" s="196"/>
      <c r="V143" s="196"/>
      <c r="W143" s="196"/>
    </row>
    <row r="144" spans="1:23" ht="11.25" customHeight="1" x14ac:dyDescent="0.25">
      <c r="A144" s="1165" t="s">
        <v>2362</v>
      </c>
      <c r="B144" s="1041"/>
      <c r="C144" s="1621">
        <v>0</v>
      </c>
      <c r="D144" s="1622">
        <v>55466</v>
      </c>
      <c r="E144" s="1623">
        <v>63218.03</v>
      </c>
      <c r="F144" s="1625">
        <v>66882.570000000007</v>
      </c>
      <c r="G144" s="1044">
        <f>F144+-13506.57</f>
        <v>53376.000000000007</v>
      </c>
      <c r="H144" s="1044">
        <f t="shared" ref="H144:H149" si="26">G144</f>
        <v>53376.000000000007</v>
      </c>
      <c r="I144" s="1625">
        <v>56471.81</v>
      </c>
      <c r="J144" s="1621">
        <v>59803.646789999992</v>
      </c>
      <c r="K144" s="1621">
        <v>63152.651010239992</v>
      </c>
      <c r="L144" s="195"/>
      <c r="M144" s="196"/>
      <c r="N144" s="196"/>
      <c r="O144" s="196"/>
      <c r="P144" s="196"/>
      <c r="Q144" s="196"/>
      <c r="R144" s="196"/>
      <c r="S144" s="196"/>
      <c r="T144" s="196"/>
      <c r="U144" s="196"/>
      <c r="V144" s="196"/>
      <c r="W144" s="196"/>
    </row>
    <row r="145" spans="1:23" ht="11.25" customHeight="1" x14ac:dyDescent="0.25">
      <c r="A145" s="1165" t="s">
        <v>2363</v>
      </c>
      <c r="B145" s="1041"/>
      <c r="C145" s="1621">
        <v>0</v>
      </c>
      <c r="D145" s="1622">
        <v>18357</v>
      </c>
      <c r="E145" s="1623">
        <v>9434.7800000000007</v>
      </c>
      <c r="F145" s="1625">
        <v>16373</v>
      </c>
      <c r="G145" s="1044">
        <f>F145+-1583</f>
        <v>14790</v>
      </c>
      <c r="H145" s="1044">
        <f t="shared" si="26"/>
        <v>14790</v>
      </c>
      <c r="I145" s="1625">
        <v>15647.82</v>
      </c>
      <c r="J145" s="1621">
        <v>16571.041379999999</v>
      </c>
      <c r="K145" s="1621">
        <v>17499.01969728</v>
      </c>
      <c r="L145" s="195"/>
      <c r="M145" s="196"/>
      <c r="N145" s="196"/>
      <c r="O145" s="196"/>
      <c r="P145" s="196"/>
      <c r="Q145" s="196"/>
      <c r="R145" s="196"/>
      <c r="S145" s="196"/>
      <c r="T145" s="196"/>
      <c r="U145" s="196"/>
      <c r="V145" s="196"/>
      <c r="W145" s="196"/>
    </row>
    <row r="146" spans="1:23" ht="11.25" customHeight="1" x14ac:dyDescent="0.25">
      <c r="A146" s="1165" t="s">
        <v>2364</v>
      </c>
      <c r="B146" s="1041"/>
      <c r="C146" s="1621">
        <v>0</v>
      </c>
      <c r="D146" s="1622">
        <v>0</v>
      </c>
      <c r="E146" s="1623">
        <v>0</v>
      </c>
      <c r="F146" s="1625">
        <v>0</v>
      </c>
      <c r="G146" s="1621">
        <v>0</v>
      </c>
      <c r="H146" s="1044">
        <f t="shared" si="26"/>
        <v>0</v>
      </c>
      <c r="I146" s="1625">
        <v>0</v>
      </c>
      <c r="J146" s="1621">
        <f t="shared" ref="J146:J149" si="27">I146*1.059</f>
        <v>0</v>
      </c>
      <c r="K146" s="1621">
        <f t="shared" ref="K146:K149" si="28">J146*1.056</f>
        <v>0</v>
      </c>
      <c r="L146" s="195"/>
      <c r="M146" s="196"/>
      <c r="N146" s="196"/>
      <c r="O146" s="196"/>
      <c r="P146" s="196"/>
      <c r="Q146" s="196"/>
      <c r="R146" s="196"/>
      <c r="S146" s="196"/>
      <c r="T146" s="196"/>
      <c r="U146" s="196"/>
      <c r="V146" s="196"/>
      <c r="W146" s="196"/>
    </row>
    <row r="147" spans="1:23" ht="11.25" customHeight="1" x14ac:dyDescent="0.25">
      <c r="A147" s="1165" t="s">
        <v>2365</v>
      </c>
      <c r="B147" s="1041"/>
      <c r="C147" s="1621">
        <v>0</v>
      </c>
      <c r="D147" s="1622">
        <v>5263</v>
      </c>
      <c r="E147" s="1623">
        <v>12850.98</v>
      </c>
      <c r="F147" s="1625">
        <v>15041.33</v>
      </c>
      <c r="G147" s="1044">
        <f>F147+-4821.33</f>
        <v>10220</v>
      </c>
      <c r="H147" s="1044">
        <f t="shared" si="26"/>
        <v>10220</v>
      </c>
      <c r="I147" s="1625">
        <v>10812.76</v>
      </c>
      <c r="J147" s="1621">
        <v>11450.71284</v>
      </c>
      <c r="K147" s="1621">
        <v>12091.952759040001</v>
      </c>
      <c r="L147" s="195"/>
      <c r="M147" s="196"/>
      <c r="N147" s="196"/>
      <c r="O147" s="196"/>
      <c r="P147" s="196"/>
      <c r="Q147" s="196"/>
      <c r="R147" s="196"/>
      <c r="S147" s="196"/>
      <c r="T147" s="196"/>
      <c r="U147" s="196"/>
      <c r="V147" s="196"/>
      <c r="W147" s="196"/>
    </row>
    <row r="148" spans="1:23" ht="11.25" customHeight="1" x14ac:dyDescent="0.25">
      <c r="A148" s="1165" t="s">
        <v>2366</v>
      </c>
      <c r="B148" s="1041"/>
      <c r="C148" s="1621">
        <v>0</v>
      </c>
      <c r="D148" s="1622">
        <v>42334</v>
      </c>
      <c r="E148" s="1623">
        <v>11640.85</v>
      </c>
      <c r="F148" s="1625">
        <v>1820.3</v>
      </c>
      <c r="G148" s="1044">
        <f>F148+20887</f>
        <v>22707.3</v>
      </c>
      <c r="H148" s="1044">
        <f t="shared" si="26"/>
        <v>22707.3</v>
      </c>
      <c r="I148" s="1625">
        <v>24024.01</v>
      </c>
      <c r="J148" s="1621">
        <f t="shared" si="27"/>
        <v>25441.426589999995</v>
      </c>
      <c r="K148" s="1621">
        <f t="shared" si="28"/>
        <v>26866.146479039995</v>
      </c>
      <c r="L148" s="195"/>
      <c r="M148" s="196"/>
      <c r="N148" s="196"/>
      <c r="O148" s="196"/>
      <c r="P148" s="196"/>
      <c r="Q148" s="196"/>
      <c r="R148" s="196"/>
      <c r="S148" s="196"/>
      <c r="T148" s="196"/>
      <c r="U148" s="196"/>
      <c r="V148" s="196"/>
      <c r="W148" s="196"/>
    </row>
    <row r="149" spans="1:23" ht="11.25" customHeight="1" x14ac:dyDescent="0.25">
      <c r="A149" s="1165" t="s">
        <v>2367</v>
      </c>
      <c r="B149" s="1041"/>
      <c r="C149" s="1621">
        <v>0</v>
      </c>
      <c r="D149" s="1622">
        <v>0</v>
      </c>
      <c r="E149" s="1623">
        <v>0</v>
      </c>
      <c r="F149" s="1625">
        <v>0</v>
      </c>
      <c r="G149" s="1621">
        <v>0</v>
      </c>
      <c r="H149" s="1044">
        <f t="shared" si="26"/>
        <v>0</v>
      </c>
      <c r="I149" s="1625">
        <v>0</v>
      </c>
      <c r="J149" s="1621">
        <f t="shared" si="27"/>
        <v>0</v>
      </c>
      <c r="K149" s="1621">
        <f t="shared" si="28"/>
        <v>0</v>
      </c>
      <c r="L149" s="195"/>
      <c r="M149" s="196"/>
      <c r="N149" s="196"/>
      <c r="O149" s="196"/>
      <c r="P149" s="196"/>
      <c r="Q149" s="196"/>
      <c r="R149" s="196"/>
      <c r="S149" s="196"/>
      <c r="T149" s="196"/>
      <c r="U149" s="196"/>
      <c r="V149" s="196"/>
      <c r="W149" s="196"/>
    </row>
    <row r="150" spans="1:23" ht="15" customHeight="1" x14ac:dyDescent="0.25">
      <c r="A150" s="1165"/>
      <c r="B150" s="1041"/>
      <c r="C150" s="1621"/>
      <c r="D150" s="1621"/>
      <c r="E150" s="1622"/>
      <c r="F150" s="1625"/>
      <c r="G150" s="1621"/>
      <c r="H150" s="1624"/>
      <c r="I150" s="1625"/>
      <c r="J150" s="1621"/>
      <c r="K150" s="2674"/>
      <c r="L150" s="195"/>
      <c r="M150" s="196"/>
      <c r="N150" s="196"/>
      <c r="O150" s="196"/>
      <c r="P150" s="196"/>
      <c r="Q150" s="196"/>
      <c r="R150" s="196"/>
      <c r="S150" s="196"/>
      <c r="T150" s="196"/>
      <c r="U150" s="196"/>
      <c r="V150" s="196"/>
      <c r="W150" s="196"/>
    </row>
    <row r="151" spans="1:23" ht="11.25" customHeight="1" x14ac:dyDescent="0.25">
      <c r="A151" s="1165">
        <f>'Org structure'!E165</f>
        <v>0</v>
      </c>
      <c r="B151" s="1041"/>
      <c r="C151" s="1621"/>
      <c r="D151" s="1621"/>
      <c r="E151" s="1622"/>
      <c r="F151" s="1623"/>
      <c r="G151" s="1621"/>
      <c r="H151" s="1624"/>
      <c r="I151" s="1625"/>
      <c r="J151" s="1621"/>
      <c r="K151" s="2674"/>
      <c r="L151" s="195"/>
      <c r="M151" s="196"/>
      <c r="N151" s="196"/>
      <c r="O151" s="196"/>
      <c r="P151" s="196"/>
      <c r="Q151" s="196"/>
      <c r="R151" s="196"/>
      <c r="S151" s="196"/>
      <c r="T151" s="196"/>
      <c r="U151" s="196"/>
      <c r="V151" s="196"/>
      <c r="W151" s="196"/>
    </row>
    <row r="152" spans="1:23" ht="11.25" customHeight="1" x14ac:dyDescent="0.25">
      <c r="A152" s="1165">
        <f>'Org structure'!E166</f>
        <v>0</v>
      </c>
      <c r="B152" s="1041"/>
      <c r="C152" s="1621"/>
      <c r="D152" s="1621"/>
      <c r="E152" s="1622"/>
      <c r="F152" s="1623"/>
      <c r="G152" s="1621"/>
      <c r="H152" s="1624"/>
      <c r="I152" s="1625"/>
      <c r="J152" s="1621"/>
      <c r="K152" s="2674"/>
      <c r="L152" s="195"/>
      <c r="M152" s="196"/>
      <c r="N152" s="196"/>
      <c r="O152" s="196"/>
      <c r="P152" s="196"/>
      <c r="Q152" s="196"/>
      <c r="R152" s="196"/>
      <c r="S152" s="196"/>
      <c r="T152" s="196"/>
      <c r="U152" s="196"/>
      <c r="V152" s="196"/>
      <c r="W152" s="196"/>
    </row>
    <row r="153" spans="1:23" ht="11.25" customHeight="1" x14ac:dyDescent="0.25">
      <c r="A153" s="1210" t="s">
        <v>180</v>
      </c>
      <c r="B153" s="1183">
        <v>2</v>
      </c>
      <c r="C153" s="1211">
        <f t="shared" ref="C153:K153" si="29">C5+C16+C27+C38+C60+C69+C74+C81+C85+C100+C104+C115+C120+C134+C143</f>
        <v>381529743</v>
      </c>
      <c r="D153" s="1211">
        <f t="shared" si="29"/>
        <v>510801536</v>
      </c>
      <c r="E153" s="1212">
        <f t="shared" si="29"/>
        <v>501824726.46999991</v>
      </c>
      <c r="F153" s="1213">
        <f t="shared" si="29"/>
        <v>473760122.98799998</v>
      </c>
      <c r="G153" s="1211">
        <f t="shared" si="29"/>
        <v>501570707.58800012</v>
      </c>
      <c r="H153" s="1214">
        <f t="shared" si="29"/>
        <v>501570707.58800012</v>
      </c>
      <c r="I153" s="1215">
        <f t="shared" si="29"/>
        <v>609076076.79000008</v>
      </c>
      <c r="J153" s="1211">
        <f t="shared" si="29"/>
        <v>645011565.32061005</v>
      </c>
      <c r="K153" s="1211">
        <f t="shared" si="29"/>
        <v>681132212.97856414</v>
      </c>
      <c r="L153" s="199">
        <f t="shared" ref="L153:W153" si="30">SUM(L79:L80)</f>
        <v>0</v>
      </c>
      <c r="M153" s="200">
        <f t="shared" si="30"/>
        <v>0</v>
      </c>
      <c r="N153" s="200">
        <f t="shared" si="30"/>
        <v>0</v>
      </c>
      <c r="O153" s="200">
        <f t="shared" si="30"/>
        <v>0</v>
      </c>
      <c r="P153" s="200">
        <f t="shared" si="30"/>
        <v>0</v>
      </c>
      <c r="Q153" s="200">
        <f t="shared" si="30"/>
        <v>0</v>
      </c>
      <c r="R153" s="200">
        <f t="shared" si="30"/>
        <v>0</v>
      </c>
      <c r="S153" s="200">
        <f t="shared" si="30"/>
        <v>0</v>
      </c>
      <c r="T153" s="200">
        <f t="shared" si="30"/>
        <v>0</v>
      </c>
      <c r="U153" s="200">
        <f t="shared" si="30"/>
        <v>0</v>
      </c>
      <c r="V153" s="200">
        <f t="shared" si="30"/>
        <v>0</v>
      </c>
      <c r="W153" s="200">
        <f t="shared" si="30"/>
        <v>0</v>
      </c>
    </row>
    <row r="154" spans="1:23" ht="5.0999999999999996" customHeight="1" x14ac:dyDescent="0.25">
      <c r="A154" s="1237"/>
      <c r="B154" s="1238"/>
      <c r="C154" s="1239"/>
      <c r="D154" s="1239"/>
      <c r="E154" s="1240"/>
      <c r="F154" s="1241"/>
      <c r="G154" s="1239"/>
      <c r="H154" s="1242"/>
      <c r="I154" s="1243"/>
      <c r="J154" s="1239"/>
      <c r="K154" s="2675"/>
      <c r="L154" s="195"/>
      <c r="M154" s="196"/>
      <c r="N154" s="196"/>
      <c r="O154" s="196"/>
      <c r="P154" s="196"/>
      <c r="Q154" s="196"/>
      <c r="R154" s="196"/>
      <c r="S154" s="196"/>
      <c r="T154" s="196"/>
      <c r="U154" s="196"/>
      <c r="V154" s="196"/>
      <c r="W154" s="196"/>
    </row>
    <row r="155" spans="1:23" ht="11.25" customHeight="1" x14ac:dyDescent="0.25">
      <c r="A155" s="1244" t="s">
        <v>428</v>
      </c>
      <c r="B155" s="1245">
        <v>1</v>
      </c>
      <c r="C155" s="1246"/>
      <c r="D155" s="1246"/>
      <c r="E155" s="1247"/>
      <c r="F155" s="1248"/>
      <c r="G155" s="1246"/>
      <c r="H155" s="1249"/>
      <c r="I155" s="1250"/>
      <c r="J155" s="1246"/>
      <c r="K155" s="2676"/>
      <c r="L155" s="195"/>
      <c r="M155" s="196"/>
      <c r="N155" s="196"/>
      <c r="O155" s="196"/>
      <c r="P155" s="196"/>
      <c r="Q155" s="196"/>
      <c r="R155" s="196"/>
      <c r="S155" s="196"/>
      <c r="T155" s="196"/>
      <c r="U155" s="196"/>
      <c r="V155" s="196"/>
      <c r="W155" s="196"/>
    </row>
    <row r="156" spans="1:23" ht="15" customHeight="1" x14ac:dyDescent="0.25">
      <c r="A156" s="1164" t="str">
        <f>A5</f>
        <v>Vote 1 - 100 COUNCIL &amp; GENERAL</v>
      </c>
      <c r="B156" s="1251"/>
      <c r="C156" s="1252">
        <f t="shared" ref="C156:K156" si="31">SUM(C157:C216)</f>
        <v>257641152</v>
      </c>
      <c r="D156" s="1252">
        <f t="shared" si="31"/>
        <v>181960218.54000002</v>
      </c>
      <c r="E156" s="1253">
        <f t="shared" si="31"/>
        <v>313465145.79000002</v>
      </c>
      <c r="F156" s="1254">
        <f t="shared" si="31"/>
        <v>268197317.12599999</v>
      </c>
      <c r="G156" s="1252">
        <f t="shared" si="31"/>
        <v>134376346.43000001</v>
      </c>
      <c r="H156" s="1255">
        <f t="shared" si="31"/>
        <v>134376346.43000001</v>
      </c>
      <c r="I156" s="1256">
        <f t="shared" si="31"/>
        <v>244171535.51999998</v>
      </c>
      <c r="J156" s="1252">
        <f t="shared" si="31"/>
        <v>258577656.11567998</v>
      </c>
      <c r="K156" s="1252">
        <f t="shared" si="31"/>
        <v>273058004.85815805</v>
      </c>
      <c r="L156" s="195"/>
      <c r="M156" s="196"/>
      <c r="N156" s="196"/>
      <c r="O156" s="196"/>
      <c r="P156" s="196"/>
      <c r="Q156" s="196"/>
      <c r="R156" s="196"/>
      <c r="S156" s="196"/>
      <c r="T156" s="196"/>
      <c r="U156" s="196"/>
      <c r="V156" s="196"/>
      <c r="W156" s="196"/>
    </row>
    <row r="157" spans="1:23" ht="11.25" customHeight="1" x14ac:dyDescent="0.25">
      <c r="A157" s="1165" t="s">
        <v>2375</v>
      </c>
      <c r="B157" s="1041"/>
      <c r="C157" s="1629">
        <v>2449000</v>
      </c>
      <c r="D157" s="1608">
        <v>1816580.88</v>
      </c>
      <c r="E157" s="1608">
        <v>2857913.19</v>
      </c>
      <c r="F157" s="1608">
        <v>3349381</v>
      </c>
      <c r="G157" s="1606">
        <v>3349381</v>
      </c>
      <c r="H157" s="1606">
        <f>G157</f>
        <v>3349381</v>
      </c>
      <c r="I157" s="1621">
        <v>3293645.1</v>
      </c>
      <c r="J157" s="1606">
        <v>3487970.1609</v>
      </c>
      <c r="K157" s="1606">
        <v>3683296.4899104</v>
      </c>
      <c r="L157" s="195"/>
      <c r="M157" s="196"/>
      <c r="N157" s="196"/>
      <c r="O157" s="196"/>
      <c r="P157" s="196"/>
      <c r="Q157" s="196"/>
      <c r="R157" s="196"/>
      <c r="S157" s="196"/>
      <c r="T157" s="196"/>
      <c r="U157" s="196"/>
      <c r="V157" s="196"/>
      <c r="W157" s="196"/>
    </row>
    <row r="158" spans="1:23" ht="11.25" customHeight="1" x14ac:dyDescent="0.25">
      <c r="A158" s="1165" t="s">
        <v>2376</v>
      </c>
      <c r="B158" s="1041"/>
      <c r="C158" s="1629">
        <v>1205000</v>
      </c>
      <c r="D158" s="1608">
        <v>1329044.3999999999</v>
      </c>
      <c r="E158" s="1608">
        <v>1574551.4</v>
      </c>
      <c r="F158" s="1608">
        <v>1533955</v>
      </c>
      <c r="G158" s="1048">
        <v>1750000</v>
      </c>
      <c r="H158" s="1606">
        <f t="shared" ref="H158:H214" si="32">G158</f>
        <v>1750000</v>
      </c>
      <c r="I158" s="1621">
        <v>1800000</v>
      </c>
      <c r="J158" s="1606">
        <v>1906200</v>
      </c>
      <c r="K158" s="1606">
        <v>2012947.2000000002</v>
      </c>
      <c r="L158" s="195"/>
      <c r="M158" s="196"/>
      <c r="N158" s="196"/>
      <c r="O158" s="196"/>
      <c r="P158" s="196"/>
      <c r="Q158" s="196"/>
      <c r="R158" s="196"/>
      <c r="S158" s="196"/>
      <c r="T158" s="196"/>
      <c r="U158" s="196"/>
      <c r="V158" s="196"/>
      <c r="W158" s="196"/>
    </row>
    <row r="159" spans="1:23" ht="11.25" customHeight="1" x14ac:dyDescent="0.25">
      <c r="A159" s="1165" t="s">
        <v>2377</v>
      </c>
      <c r="B159" s="1041"/>
      <c r="C159" s="1629">
        <v>1171000</v>
      </c>
      <c r="D159" s="1608">
        <v>223300.57</v>
      </c>
      <c r="E159" s="1608">
        <v>239161.91</v>
      </c>
      <c r="F159" s="1608">
        <v>264475</v>
      </c>
      <c r="G159" s="1606">
        <v>264475</v>
      </c>
      <c r="H159" s="1606">
        <f t="shared" si="32"/>
        <v>264475</v>
      </c>
      <c r="I159" s="1621">
        <v>279814.55</v>
      </c>
      <c r="J159" s="1606">
        <v>296323.60845</v>
      </c>
      <c r="K159" s="1606">
        <v>312917.73052320001</v>
      </c>
      <c r="L159" s="195"/>
      <c r="M159" s="196"/>
      <c r="N159" s="196"/>
      <c r="O159" s="196"/>
      <c r="P159" s="196"/>
      <c r="Q159" s="196"/>
      <c r="R159" s="196"/>
      <c r="S159" s="196"/>
      <c r="T159" s="196"/>
      <c r="U159" s="196"/>
      <c r="V159" s="196"/>
      <c r="W159" s="196"/>
    </row>
    <row r="160" spans="1:23" ht="11.25" customHeight="1" x14ac:dyDescent="0.25">
      <c r="A160" s="1165" t="s">
        <v>2382</v>
      </c>
      <c r="B160" s="1041"/>
      <c r="C160" s="1629">
        <v>3566000</v>
      </c>
      <c r="D160" s="1608">
        <v>3674942.26</v>
      </c>
      <c r="E160" s="1608">
        <v>3934224.29</v>
      </c>
      <c r="F160" s="1629">
        <v>2962120</v>
      </c>
      <c r="G160" s="1048">
        <v>3119516.98</v>
      </c>
      <c r="H160" s="1606">
        <f t="shared" si="32"/>
        <v>3119516.98</v>
      </c>
      <c r="I160" s="1621">
        <v>3473316.93</v>
      </c>
      <c r="J160" s="1606">
        <v>3678242.6288700001</v>
      </c>
      <c r="K160" s="1606">
        <v>3884224.2160867201</v>
      </c>
      <c r="L160" s="195"/>
      <c r="M160" s="196"/>
      <c r="N160" s="196"/>
      <c r="O160" s="196"/>
      <c r="P160" s="196"/>
      <c r="Q160" s="196"/>
      <c r="R160" s="196"/>
      <c r="S160" s="196"/>
      <c r="T160" s="196"/>
      <c r="U160" s="196"/>
      <c r="V160" s="196"/>
      <c r="W160" s="196"/>
    </row>
    <row r="161" spans="1:23" ht="11.25" customHeight="1" x14ac:dyDescent="0.25">
      <c r="A161" s="1165" t="s">
        <v>2384</v>
      </c>
      <c r="B161" s="1041"/>
      <c r="C161" s="1629">
        <v>818000</v>
      </c>
      <c r="D161" s="1608">
        <v>840086</v>
      </c>
      <c r="E161" s="1608">
        <v>1327932</v>
      </c>
      <c r="F161" s="1608">
        <v>1412880</v>
      </c>
      <c r="G161" s="1048">
        <v>1496312.24</v>
      </c>
      <c r="H161" s="1606">
        <f>G161</f>
        <v>1496312.24</v>
      </c>
      <c r="I161" s="1621">
        <v>1494827.04</v>
      </c>
      <c r="J161" s="1606">
        <v>1583021.8353599999</v>
      </c>
      <c r="K161" s="1606">
        <v>1671671.0581401601</v>
      </c>
      <c r="L161" s="195"/>
      <c r="M161" s="196"/>
      <c r="N161" s="196"/>
      <c r="O161" s="196"/>
      <c r="P161" s="196"/>
      <c r="Q161" s="196"/>
      <c r="R161" s="196"/>
      <c r="S161" s="196"/>
      <c r="T161" s="196"/>
      <c r="U161" s="196"/>
      <c r="V161" s="196"/>
      <c r="W161" s="196"/>
    </row>
    <row r="162" spans="1:23" ht="11.25" customHeight="1" x14ac:dyDescent="0.25">
      <c r="A162" s="1165" t="s">
        <v>2383</v>
      </c>
      <c r="B162" s="1041"/>
      <c r="C162" s="1629">
        <v>5617000</v>
      </c>
      <c r="D162" s="1608">
        <v>7909451.7400000002</v>
      </c>
      <c r="E162" s="1608">
        <v>7794529.96</v>
      </c>
      <c r="F162" s="1608">
        <v>9468909</v>
      </c>
      <c r="G162" s="1048">
        <v>8261755.8600000003</v>
      </c>
      <c r="H162" s="1606">
        <f t="shared" si="32"/>
        <v>8261755.8600000003</v>
      </c>
      <c r="I162" s="1621">
        <v>8001714.3200000003</v>
      </c>
      <c r="J162" s="1606">
        <v>8473815.4648799989</v>
      </c>
      <c r="K162" s="1606">
        <v>8948349.13091328</v>
      </c>
      <c r="L162" s="195"/>
      <c r="M162" s="196"/>
      <c r="N162" s="196"/>
      <c r="O162" s="196"/>
      <c r="P162" s="196"/>
      <c r="Q162" s="196"/>
      <c r="R162" s="196"/>
      <c r="S162" s="196"/>
      <c r="T162" s="196"/>
      <c r="U162" s="196"/>
      <c r="V162" s="196"/>
      <c r="W162" s="196"/>
    </row>
    <row r="163" spans="1:23" ht="11.25" customHeight="1" x14ac:dyDescent="0.25">
      <c r="A163" s="1165" t="s">
        <v>2385</v>
      </c>
      <c r="B163" s="1041"/>
      <c r="C163" s="1629">
        <v>150000</v>
      </c>
      <c r="D163" s="1608">
        <v>481444.07</v>
      </c>
      <c r="E163" s="1608">
        <v>0</v>
      </c>
      <c r="F163" s="1608">
        <v>0</v>
      </c>
      <c r="G163" s="1606">
        <v>0</v>
      </c>
      <c r="H163" s="1606">
        <f t="shared" si="32"/>
        <v>0</v>
      </c>
      <c r="I163" s="1608">
        <v>0</v>
      </c>
      <c r="J163" s="1606">
        <f t="shared" ref="J163:J215" si="33">I163*1.059</f>
        <v>0</v>
      </c>
      <c r="K163" s="1606">
        <f t="shared" ref="K163:K215" si="34">J163*1.056</f>
        <v>0</v>
      </c>
      <c r="L163" s="195"/>
      <c r="M163" s="196"/>
      <c r="N163" s="196"/>
      <c r="O163" s="196"/>
      <c r="P163" s="196"/>
      <c r="Q163" s="196"/>
      <c r="R163" s="196"/>
      <c r="S163" s="196"/>
      <c r="T163" s="196"/>
      <c r="U163" s="196"/>
      <c r="V163" s="196"/>
      <c r="W163" s="196"/>
    </row>
    <row r="164" spans="1:23" ht="11.25" customHeight="1" x14ac:dyDescent="0.25">
      <c r="A164" s="1165" t="s">
        <v>2387</v>
      </c>
      <c r="B164" s="1041"/>
      <c r="C164" s="1629">
        <v>110000</v>
      </c>
      <c r="D164" s="1608">
        <v>2211037.2200000002</v>
      </c>
      <c r="E164" s="1608">
        <v>377392</v>
      </c>
      <c r="F164" s="1608">
        <v>1000000</v>
      </c>
      <c r="G164" s="1048">
        <f>F164+-654768</f>
        <v>345232</v>
      </c>
      <c r="H164" s="1606">
        <f t="shared" si="32"/>
        <v>345232</v>
      </c>
      <c r="I164" s="1608">
        <v>0</v>
      </c>
      <c r="J164" s="1606">
        <f t="shared" si="33"/>
        <v>0</v>
      </c>
      <c r="K164" s="1606">
        <f t="shared" si="34"/>
        <v>0</v>
      </c>
      <c r="L164" s="195"/>
      <c r="M164" s="196"/>
      <c r="N164" s="196"/>
      <c r="O164" s="196"/>
      <c r="P164" s="196"/>
      <c r="Q164" s="196"/>
      <c r="R164" s="196"/>
      <c r="S164" s="196"/>
      <c r="T164" s="196"/>
      <c r="U164" s="196"/>
      <c r="V164" s="196"/>
      <c r="W164" s="196"/>
    </row>
    <row r="165" spans="1:23" ht="11.25" customHeight="1" x14ac:dyDescent="0.25">
      <c r="A165" s="1165" t="s">
        <v>2388</v>
      </c>
      <c r="B165" s="1041"/>
      <c r="C165" s="1629">
        <v>75000</v>
      </c>
      <c r="D165" s="1608">
        <v>0</v>
      </c>
      <c r="E165" s="1608">
        <v>0</v>
      </c>
      <c r="F165" s="1629">
        <v>0</v>
      </c>
      <c r="G165" s="1606">
        <v>0</v>
      </c>
      <c r="H165" s="1606">
        <f t="shared" si="32"/>
        <v>0</v>
      </c>
      <c r="I165" s="1608">
        <v>0</v>
      </c>
      <c r="J165" s="1606">
        <f t="shared" si="33"/>
        <v>0</v>
      </c>
      <c r="K165" s="1606">
        <f t="shared" si="34"/>
        <v>0</v>
      </c>
      <c r="L165" s="195"/>
      <c r="M165" s="196"/>
      <c r="N165" s="196"/>
      <c r="O165" s="196"/>
      <c r="P165" s="196"/>
      <c r="Q165" s="196"/>
      <c r="R165" s="196"/>
      <c r="S165" s="196"/>
      <c r="T165" s="196"/>
      <c r="U165" s="196"/>
      <c r="V165" s="196"/>
      <c r="W165" s="196"/>
    </row>
    <row r="166" spans="1:23" ht="11.25" customHeight="1" x14ac:dyDescent="0.25">
      <c r="A166" s="1165" t="s">
        <v>2389</v>
      </c>
      <c r="B166" s="1041"/>
      <c r="C166" s="1629">
        <v>3250000</v>
      </c>
      <c r="D166" s="1608">
        <v>6039604.2699999996</v>
      </c>
      <c r="E166" s="1608">
        <v>0</v>
      </c>
      <c r="F166" s="1608">
        <v>0</v>
      </c>
      <c r="G166" s="1606">
        <v>0</v>
      </c>
      <c r="H166" s="1606">
        <f t="shared" si="32"/>
        <v>0</v>
      </c>
      <c r="I166" s="1608">
        <v>0</v>
      </c>
      <c r="J166" s="1606">
        <f t="shared" si="33"/>
        <v>0</v>
      </c>
      <c r="K166" s="1606">
        <f t="shared" si="34"/>
        <v>0</v>
      </c>
      <c r="L166" s="195"/>
      <c r="M166" s="196"/>
      <c r="N166" s="196"/>
      <c r="O166" s="196"/>
      <c r="P166" s="196"/>
      <c r="Q166" s="196"/>
      <c r="R166" s="196"/>
      <c r="S166" s="196"/>
      <c r="T166" s="196"/>
      <c r="U166" s="196"/>
      <c r="V166" s="196"/>
      <c r="W166" s="196"/>
    </row>
    <row r="167" spans="1:23" ht="11.25" customHeight="1" x14ac:dyDescent="0.25">
      <c r="A167" s="1165" t="s">
        <v>2390</v>
      </c>
      <c r="B167" s="1041"/>
      <c r="C167" s="1629">
        <v>280000</v>
      </c>
      <c r="D167" s="1608">
        <v>307404.83</v>
      </c>
      <c r="E167" s="1608">
        <v>0</v>
      </c>
      <c r="F167" s="1608">
        <v>0</v>
      </c>
      <c r="G167" s="1606">
        <v>0</v>
      </c>
      <c r="H167" s="1606">
        <f t="shared" si="32"/>
        <v>0</v>
      </c>
      <c r="I167" s="1608">
        <v>0</v>
      </c>
      <c r="J167" s="1606">
        <f t="shared" si="33"/>
        <v>0</v>
      </c>
      <c r="K167" s="1606">
        <f t="shared" si="34"/>
        <v>0</v>
      </c>
      <c r="L167" s="195"/>
      <c r="M167" s="196"/>
      <c r="N167" s="196"/>
      <c r="O167" s="196"/>
      <c r="P167" s="196"/>
      <c r="Q167" s="196"/>
      <c r="R167" s="196"/>
      <c r="S167" s="196"/>
      <c r="T167" s="196"/>
      <c r="U167" s="196"/>
      <c r="V167" s="196"/>
      <c r="W167" s="196"/>
    </row>
    <row r="168" spans="1:23" ht="11.25" customHeight="1" x14ac:dyDescent="0.25">
      <c r="A168" s="1165" t="s">
        <v>2391</v>
      </c>
      <c r="B168" s="1041"/>
      <c r="C168" s="1629">
        <v>147000</v>
      </c>
      <c r="D168" s="1608">
        <v>91531.16</v>
      </c>
      <c r="E168" s="1608">
        <v>107945.67</v>
      </c>
      <c r="F168" s="1606">
        <v>100000</v>
      </c>
      <c r="G168" s="1048">
        <v>112648</v>
      </c>
      <c r="H168" s="1606">
        <f t="shared" si="32"/>
        <v>112648</v>
      </c>
      <c r="I168" s="1621">
        <v>119181.58</v>
      </c>
      <c r="J168" s="1606">
        <v>126213.29321999999</v>
      </c>
      <c r="K168" s="1606">
        <v>133281.23764032</v>
      </c>
      <c r="L168" s="195"/>
      <c r="M168" s="196"/>
      <c r="N168" s="196"/>
      <c r="O168" s="196"/>
      <c r="P168" s="196"/>
      <c r="Q168" s="196"/>
      <c r="R168" s="196"/>
      <c r="S168" s="196"/>
      <c r="T168" s="196"/>
      <c r="U168" s="196"/>
      <c r="V168" s="196"/>
      <c r="W168" s="196"/>
    </row>
    <row r="169" spans="1:23" ht="11.25" customHeight="1" x14ac:dyDescent="0.25">
      <c r="A169" s="1165" t="s">
        <v>2392</v>
      </c>
      <c r="B169" s="1041"/>
      <c r="C169" s="1629">
        <v>0</v>
      </c>
      <c r="D169" s="1608">
        <v>12750</v>
      </c>
      <c r="E169" s="1608">
        <v>0</v>
      </c>
      <c r="F169" s="1608">
        <v>0</v>
      </c>
      <c r="G169" s="1606"/>
      <c r="H169" s="1606">
        <f t="shared" si="32"/>
        <v>0</v>
      </c>
      <c r="I169" s="1608"/>
      <c r="J169" s="1606">
        <f t="shared" si="33"/>
        <v>0</v>
      </c>
      <c r="K169" s="1606">
        <f t="shared" si="34"/>
        <v>0</v>
      </c>
      <c r="L169" s="195"/>
      <c r="M169" s="196"/>
      <c r="N169" s="196"/>
      <c r="O169" s="196"/>
      <c r="P169" s="196"/>
      <c r="Q169" s="196"/>
      <c r="R169" s="196"/>
      <c r="S169" s="196"/>
      <c r="T169" s="196"/>
      <c r="U169" s="196"/>
      <c r="V169" s="196"/>
      <c r="W169" s="196"/>
    </row>
    <row r="170" spans="1:23" ht="11.25" customHeight="1" x14ac:dyDescent="0.25">
      <c r="A170" s="1165" t="s">
        <v>2393</v>
      </c>
      <c r="B170" s="1041"/>
      <c r="C170" s="1629">
        <v>200000</v>
      </c>
      <c r="D170" s="1608">
        <v>324634.59000000003</v>
      </c>
      <c r="E170" s="1608">
        <v>0</v>
      </c>
      <c r="F170" s="1629">
        <v>0</v>
      </c>
      <c r="G170" s="1606"/>
      <c r="H170" s="1606">
        <f t="shared" si="32"/>
        <v>0</v>
      </c>
      <c r="I170" s="1608"/>
      <c r="J170" s="1606">
        <f t="shared" si="33"/>
        <v>0</v>
      </c>
      <c r="K170" s="1606">
        <f t="shared" si="34"/>
        <v>0</v>
      </c>
      <c r="L170" s="195"/>
      <c r="M170" s="196"/>
      <c r="N170" s="196"/>
      <c r="O170" s="196"/>
      <c r="P170" s="196"/>
      <c r="Q170" s="196"/>
      <c r="R170" s="196"/>
      <c r="S170" s="196"/>
      <c r="T170" s="196"/>
      <c r="U170" s="196"/>
      <c r="V170" s="196"/>
      <c r="W170" s="196"/>
    </row>
    <row r="171" spans="1:23" ht="11.25" customHeight="1" x14ac:dyDescent="0.25">
      <c r="A171" s="1165" t="s">
        <v>2395</v>
      </c>
      <c r="B171" s="1041"/>
      <c r="C171" s="1629">
        <v>23000</v>
      </c>
      <c r="D171" s="1608">
        <v>981940.47</v>
      </c>
      <c r="E171" s="1608">
        <v>1275551.8899999999</v>
      </c>
      <c r="F171" s="1608">
        <v>800000</v>
      </c>
      <c r="G171" s="1048">
        <f>F171+-794867</f>
        <v>5133</v>
      </c>
      <c r="H171" s="1606">
        <f t="shared" si="32"/>
        <v>5133</v>
      </c>
      <c r="I171" s="1621">
        <v>696000</v>
      </c>
      <c r="J171" s="1606">
        <f t="shared" si="33"/>
        <v>737064</v>
      </c>
      <c r="K171" s="1606">
        <f t="shared" si="34"/>
        <v>778339.58400000003</v>
      </c>
      <c r="L171" s="195"/>
      <c r="M171" s="196"/>
      <c r="N171" s="196"/>
      <c r="O171" s="196"/>
      <c r="P171" s="196"/>
      <c r="Q171" s="196"/>
      <c r="R171" s="196"/>
      <c r="S171" s="196"/>
      <c r="T171" s="196"/>
      <c r="U171" s="196"/>
      <c r="V171" s="196"/>
      <c r="W171" s="196"/>
    </row>
    <row r="172" spans="1:23" ht="11.25" customHeight="1" x14ac:dyDescent="0.25">
      <c r="A172" s="1165" t="s">
        <v>2396</v>
      </c>
      <c r="B172" s="1041"/>
      <c r="C172" s="1629">
        <v>0</v>
      </c>
      <c r="D172" s="1608">
        <v>233482.91</v>
      </c>
      <c r="E172" s="1608">
        <v>126106.53</v>
      </c>
      <c r="F172" s="1608">
        <v>150000</v>
      </c>
      <c r="G172" s="1048">
        <v>123727</v>
      </c>
      <c r="H172" s="1606">
        <f t="shared" si="32"/>
        <v>123727</v>
      </c>
      <c r="I172" s="1608"/>
      <c r="J172" s="1606">
        <f t="shared" si="33"/>
        <v>0</v>
      </c>
      <c r="K172" s="1606">
        <f t="shared" si="34"/>
        <v>0</v>
      </c>
      <c r="L172" s="195"/>
      <c r="M172" s="196"/>
      <c r="N172" s="196"/>
      <c r="O172" s="196"/>
      <c r="P172" s="196"/>
      <c r="Q172" s="196"/>
      <c r="R172" s="196"/>
      <c r="S172" s="196"/>
      <c r="T172" s="196"/>
      <c r="U172" s="196"/>
      <c r="V172" s="196"/>
      <c r="W172" s="196"/>
    </row>
    <row r="173" spans="1:23" ht="11.25" customHeight="1" x14ac:dyDescent="0.25">
      <c r="A173" s="1165" t="s">
        <v>2397</v>
      </c>
      <c r="B173" s="1041"/>
      <c r="C173" s="1629">
        <v>2000000</v>
      </c>
      <c r="D173" s="1608">
        <v>761900</v>
      </c>
      <c r="E173" s="1608">
        <v>0</v>
      </c>
      <c r="F173" s="1629">
        <v>0</v>
      </c>
      <c r="G173" s="1606"/>
      <c r="H173" s="1606">
        <f t="shared" si="32"/>
        <v>0</v>
      </c>
      <c r="I173" s="1608"/>
      <c r="J173" s="1606">
        <f t="shared" si="33"/>
        <v>0</v>
      </c>
      <c r="K173" s="1606">
        <f t="shared" si="34"/>
        <v>0</v>
      </c>
      <c r="L173" s="195"/>
      <c r="M173" s="196"/>
      <c r="N173" s="196"/>
      <c r="O173" s="196"/>
      <c r="P173" s="196"/>
      <c r="Q173" s="196"/>
      <c r="R173" s="196"/>
      <c r="S173" s="196"/>
      <c r="T173" s="196"/>
      <c r="U173" s="196"/>
      <c r="V173" s="196"/>
      <c r="W173" s="196"/>
    </row>
    <row r="174" spans="1:23" ht="11.25" customHeight="1" x14ac:dyDescent="0.25">
      <c r="A174" s="2666" t="s">
        <v>2429</v>
      </c>
      <c r="B174" s="1041"/>
      <c r="C174" s="1629">
        <v>140000</v>
      </c>
      <c r="D174" s="1608">
        <v>94657.79</v>
      </c>
      <c r="E174" s="1608">
        <v>104226</v>
      </c>
      <c r="F174" s="1608">
        <v>50000</v>
      </c>
      <c r="G174" s="1048">
        <v>150000</v>
      </c>
      <c r="H174" s="1606">
        <f>G174</f>
        <v>150000</v>
      </c>
      <c r="I174" s="1621">
        <v>150000</v>
      </c>
      <c r="J174" s="1606">
        <f t="shared" si="33"/>
        <v>158850</v>
      </c>
      <c r="K174" s="1606">
        <f t="shared" si="34"/>
        <v>167745.60000000001</v>
      </c>
      <c r="L174" s="195"/>
      <c r="M174" s="196"/>
      <c r="N174" s="196"/>
      <c r="O174" s="196"/>
      <c r="P174" s="196"/>
      <c r="Q174" s="196"/>
      <c r="R174" s="196"/>
      <c r="S174" s="196"/>
      <c r="T174" s="196"/>
      <c r="U174" s="196"/>
      <c r="V174" s="196"/>
      <c r="W174" s="196"/>
    </row>
    <row r="175" spans="1:23" ht="11.25" customHeight="1" x14ac:dyDescent="0.25">
      <c r="A175" s="1165" t="s">
        <v>2399</v>
      </c>
      <c r="B175" s="1041"/>
      <c r="C175" s="1629"/>
      <c r="D175" s="1608">
        <v>763592.61</v>
      </c>
      <c r="E175" s="1608">
        <v>356670.51</v>
      </c>
      <c r="F175" s="1629">
        <v>0</v>
      </c>
      <c r="G175" s="1629">
        <v>0</v>
      </c>
      <c r="H175" s="1606">
        <f>G175</f>
        <v>0</v>
      </c>
      <c r="I175" s="1608">
        <v>0</v>
      </c>
      <c r="J175" s="1606">
        <f t="shared" si="33"/>
        <v>0</v>
      </c>
      <c r="K175" s="1606">
        <f t="shared" si="34"/>
        <v>0</v>
      </c>
      <c r="L175" s="195"/>
      <c r="M175" s="196"/>
      <c r="N175" s="196"/>
      <c r="O175" s="196"/>
      <c r="P175" s="196"/>
      <c r="Q175" s="196"/>
      <c r="R175" s="196"/>
      <c r="S175" s="196"/>
      <c r="T175" s="196"/>
      <c r="U175" s="196"/>
      <c r="V175" s="196"/>
      <c r="W175" s="196"/>
    </row>
    <row r="176" spans="1:23" ht="11.25" customHeight="1" x14ac:dyDescent="0.25">
      <c r="A176" s="1165" t="s">
        <v>2398</v>
      </c>
      <c r="B176" s="1041"/>
      <c r="C176" s="1629">
        <v>5124000</v>
      </c>
      <c r="D176" s="1608">
        <v>4383756.43</v>
      </c>
      <c r="E176" s="1608">
        <v>4412700.2300000004</v>
      </c>
      <c r="F176" s="1608">
        <v>7000000</v>
      </c>
      <c r="G176" s="1048">
        <v>4741544</v>
      </c>
      <c r="H176" s="1606">
        <f t="shared" si="32"/>
        <v>4741544</v>
      </c>
      <c r="I176" s="1621">
        <v>3150000</v>
      </c>
      <c r="J176" s="1606">
        <v>3335850</v>
      </c>
      <c r="K176" s="1606">
        <v>3522657.6</v>
      </c>
      <c r="L176" s="195"/>
      <c r="M176" s="196"/>
      <c r="N176" s="196"/>
      <c r="O176" s="196"/>
      <c r="P176" s="196"/>
      <c r="Q176" s="196"/>
      <c r="R176" s="196"/>
      <c r="S176" s="196"/>
      <c r="T176" s="196"/>
      <c r="U176" s="196"/>
      <c r="V176" s="196"/>
      <c r="W176" s="196"/>
    </row>
    <row r="177" spans="1:23" ht="11.25" customHeight="1" x14ac:dyDescent="0.25">
      <c r="A177" s="1165" t="s">
        <v>2400</v>
      </c>
      <c r="B177" s="1041"/>
      <c r="C177" s="1629">
        <v>300000</v>
      </c>
      <c r="D177" s="1608"/>
      <c r="E177" s="1608">
        <v>0</v>
      </c>
      <c r="F177" s="1629">
        <v>0</v>
      </c>
      <c r="G177" s="1629">
        <v>0</v>
      </c>
      <c r="H177" s="1606">
        <f t="shared" si="32"/>
        <v>0</v>
      </c>
      <c r="I177" s="1608">
        <v>0</v>
      </c>
      <c r="J177" s="1606">
        <f t="shared" si="33"/>
        <v>0</v>
      </c>
      <c r="K177" s="1606">
        <f t="shared" si="34"/>
        <v>0</v>
      </c>
      <c r="L177" s="195"/>
      <c r="M177" s="196"/>
      <c r="N177" s="196"/>
      <c r="O177" s="196"/>
      <c r="P177" s="196"/>
      <c r="Q177" s="196"/>
      <c r="R177" s="196"/>
      <c r="S177" s="196"/>
      <c r="T177" s="196"/>
      <c r="U177" s="196"/>
      <c r="V177" s="196"/>
      <c r="W177" s="196"/>
    </row>
    <row r="178" spans="1:23" ht="11.25" customHeight="1" x14ac:dyDescent="0.25">
      <c r="A178" s="1165" t="s">
        <v>2401</v>
      </c>
      <c r="B178" s="1041"/>
      <c r="C178" s="1629">
        <v>0</v>
      </c>
      <c r="D178" s="1608">
        <v>6794.26</v>
      </c>
      <c r="E178" s="1608">
        <v>6113.75</v>
      </c>
      <c r="F178" s="1629">
        <v>0</v>
      </c>
      <c r="G178" s="1629">
        <v>0</v>
      </c>
      <c r="H178" s="1606">
        <f t="shared" si="32"/>
        <v>0</v>
      </c>
      <c r="I178" s="1608">
        <v>0</v>
      </c>
      <c r="J178" s="1606">
        <f t="shared" si="33"/>
        <v>0</v>
      </c>
      <c r="K178" s="1606">
        <f t="shared" si="34"/>
        <v>0</v>
      </c>
      <c r="L178" s="195"/>
      <c r="M178" s="196"/>
      <c r="N178" s="196"/>
      <c r="O178" s="196"/>
      <c r="P178" s="196"/>
      <c r="Q178" s="196"/>
      <c r="R178" s="196"/>
      <c r="S178" s="196"/>
      <c r="T178" s="196"/>
      <c r="U178" s="196"/>
      <c r="V178" s="196"/>
      <c r="W178" s="196"/>
    </row>
    <row r="179" spans="1:23" ht="11.25" customHeight="1" x14ac:dyDescent="0.25">
      <c r="A179" s="1165" t="s">
        <v>2402</v>
      </c>
      <c r="B179" s="1041"/>
      <c r="C179" s="1629">
        <v>0</v>
      </c>
      <c r="D179" s="1608">
        <v>14480.03</v>
      </c>
      <c r="E179" s="1608">
        <v>3356.11</v>
      </c>
      <c r="F179" s="1629">
        <v>0</v>
      </c>
      <c r="G179" s="1629">
        <v>0</v>
      </c>
      <c r="H179" s="1606">
        <f t="shared" si="32"/>
        <v>0</v>
      </c>
      <c r="I179" s="1608">
        <v>0</v>
      </c>
      <c r="J179" s="1606">
        <f t="shared" si="33"/>
        <v>0</v>
      </c>
      <c r="K179" s="1606">
        <f t="shared" si="34"/>
        <v>0</v>
      </c>
      <c r="L179" s="195"/>
      <c r="M179" s="196"/>
      <c r="N179" s="196"/>
      <c r="O179" s="196"/>
      <c r="P179" s="196"/>
      <c r="Q179" s="196"/>
      <c r="R179" s="196"/>
      <c r="S179" s="196"/>
      <c r="T179" s="196"/>
      <c r="U179" s="196"/>
      <c r="V179" s="196"/>
      <c r="W179" s="196"/>
    </row>
    <row r="180" spans="1:23" ht="11.25" customHeight="1" x14ac:dyDescent="0.25">
      <c r="A180" s="1165" t="s">
        <v>2403</v>
      </c>
      <c r="B180" s="1041"/>
      <c r="C180" s="1629">
        <v>0</v>
      </c>
      <c r="D180" s="1608">
        <v>4696.1000000000004</v>
      </c>
      <c r="E180" s="1608">
        <v>1363.25</v>
      </c>
      <c r="F180" s="1629">
        <v>0</v>
      </c>
      <c r="G180" s="1629">
        <v>0</v>
      </c>
      <c r="H180" s="1606">
        <f t="shared" si="32"/>
        <v>0</v>
      </c>
      <c r="I180" s="1608">
        <v>0</v>
      </c>
      <c r="J180" s="1606">
        <f t="shared" si="33"/>
        <v>0</v>
      </c>
      <c r="K180" s="1606">
        <f t="shared" si="34"/>
        <v>0</v>
      </c>
      <c r="L180" s="195"/>
      <c r="M180" s="196"/>
      <c r="N180" s="196"/>
      <c r="O180" s="196"/>
      <c r="P180" s="196"/>
      <c r="Q180" s="196"/>
      <c r="R180" s="196"/>
      <c r="S180" s="196"/>
      <c r="T180" s="196"/>
      <c r="U180" s="196"/>
      <c r="V180" s="196"/>
      <c r="W180" s="196"/>
    </row>
    <row r="181" spans="1:23" ht="11.25" customHeight="1" x14ac:dyDescent="0.25">
      <c r="A181" s="1165" t="s">
        <v>2404</v>
      </c>
      <c r="B181" s="1041"/>
      <c r="C181" s="1629">
        <v>0</v>
      </c>
      <c r="D181" s="1608">
        <v>896.86</v>
      </c>
      <c r="E181" s="1608">
        <v>3125.34</v>
      </c>
      <c r="F181" s="1629">
        <v>0</v>
      </c>
      <c r="G181" s="1629">
        <v>0</v>
      </c>
      <c r="H181" s="1606">
        <f t="shared" si="32"/>
        <v>0</v>
      </c>
      <c r="I181" s="1608">
        <v>0</v>
      </c>
      <c r="J181" s="1606">
        <f t="shared" si="33"/>
        <v>0</v>
      </c>
      <c r="K181" s="1606">
        <f t="shared" si="34"/>
        <v>0</v>
      </c>
      <c r="L181" s="195"/>
      <c r="M181" s="196"/>
      <c r="N181" s="196"/>
      <c r="O181" s="196"/>
      <c r="P181" s="196"/>
      <c r="Q181" s="196"/>
      <c r="R181" s="196"/>
      <c r="S181" s="196"/>
      <c r="T181" s="196"/>
      <c r="U181" s="196"/>
      <c r="V181" s="196"/>
      <c r="W181" s="196"/>
    </row>
    <row r="182" spans="1:23" ht="11.25" customHeight="1" x14ac:dyDescent="0.25">
      <c r="A182" s="1165" t="s">
        <v>2405</v>
      </c>
      <c r="B182" s="1041"/>
      <c r="C182" s="1629">
        <v>0</v>
      </c>
      <c r="D182" s="1608">
        <v>7740.44</v>
      </c>
      <c r="E182" s="1608">
        <v>0</v>
      </c>
      <c r="F182" s="1629">
        <v>0</v>
      </c>
      <c r="G182" s="1629">
        <v>0</v>
      </c>
      <c r="H182" s="1606">
        <f t="shared" si="32"/>
        <v>0</v>
      </c>
      <c r="I182" s="1608">
        <v>0</v>
      </c>
      <c r="J182" s="1606">
        <f t="shared" si="33"/>
        <v>0</v>
      </c>
      <c r="K182" s="1606">
        <f t="shared" si="34"/>
        <v>0</v>
      </c>
      <c r="L182" s="195"/>
      <c r="M182" s="196"/>
      <c r="N182" s="196"/>
      <c r="O182" s="196"/>
      <c r="P182" s="196"/>
      <c r="Q182" s="196"/>
      <c r="R182" s="196"/>
      <c r="S182" s="196"/>
      <c r="T182" s="196"/>
      <c r="U182" s="196"/>
      <c r="V182" s="196"/>
      <c r="W182" s="196"/>
    </row>
    <row r="183" spans="1:23" ht="11.25" customHeight="1" x14ac:dyDescent="0.25">
      <c r="A183" s="1165" t="s">
        <v>2406</v>
      </c>
      <c r="B183" s="1041"/>
      <c r="C183" s="1629">
        <v>0</v>
      </c>
      <c r="D183" s="1608">
        <v>7552.32</v>
      </c>
      <c r="E183" s="1608">
        <v>0</v>
      </c>
      <c r="F183" s="1629">
        <v>0</v>
      </c>
      <c r="G183" s="1629">
        <v>0</v>
      </c>
      <c r="H183" s="1606">
        <f t="shared" si="32"/>
        <v>0</v>
      </c>
      <c r="I183" s="1608">
        <v>0</v>
      </c>
      <c r="J183" s="1606">
        <f t="shared" si="33"/>
        <v>0</v>
      </c>
      <c r="K183" s="1606">
        <f t="shared" si="34"/>
        <v>0</v>
      </c>
      <c r="L183" s="195"/>
      <c r="M183" s="196"/>
      <c r="N183" s="196"/>
      <c r="O183" s="196"/>
      <c r="P183" s="196"/>
      <c r="Q183" s="196"/>
      <c r="R183" s="196"/>
      <c r="S183" s="196"/>
      <c r="T183" s="196"/>
      <c r="U183" s="196"/>
      <c r="V183" s="196"/>
      <c r="W183" s="196"/>
    </row>
    <row r="184" spans="1:23" ht="11.25" customHeight="1" x14ac:dyDescent="0.25">
      <c r="A184" s="1165" t="s">
        <v>2408</v>
      </c>
      <c r="B184" s="1041"/>
      <c r="C184" s="1629">
        <v>2304000</v>
      </c>
      <c r="D184" s="1608">
        <v>494077.84</v>
      </c>
      <c r="E184" s="1608">
        <v>0</v>
      </c>
      <c r="F184" s="1629">
        <v>0</v>
      </c>
      <c r="G184" s="1629">
        <v>0</v>
      </c>
      <c r="H184" s="1606">
        <f t="shared" si="32"/>
        <v>0</v>
      </c>
      <c r="I184" s="1608">
        <v>0</v>
      </c>
      <c r="J184" s="1606">
        <f t="shared" si="33"/>
        <v>0</v>
      </c>
      <c r="K184" s="1606">
        <f t="shared" si="34"/>
        <v>0</v>
      </c>
      <c r="L184" s="195"/>
      <c r="M184" s="196"/>
      <c r="N184" s="196"/>
      <c r="O184" s="196"/>
      <c r="P184" s="196"/>
      <c r="Q184" s="196"/>
      <c r="R184" s="196"/>
      <c r="S184" s="196"/>
      <c r="T184" s="196"/>
      <c r="U184" s="196"/>
      <c r="V184" s="196"/>
      <c r="W184" s="196"/>
    </row>
    <row r="185" spans="1:23" ht="11.25" customHeight="1" x14ac:dyDescent="0.25">
      <c r="A185" s="1165" t="s">
        <v>2409</v>
      </c>
      <c r="B185" s="1041"/>
      <c r="C185" s="1629">
        <v>1100000</v>
      </c>
      <c r="D185" s="1608">
        <v>1420314.47</v>
      </c>
      <c r="E185" s="1608">
        <v>0</v>
      </c>
      <c r="F185" s="1629">
        <v>0</v>
      </c>
      <c r="G185" s="1629">
        <v>0</v>
      </c>
      <c r="H185" s="1606">
        <f t="shared" si="32"/>
        <v>0</v>
      </c>
      <c r="I185" s="1608">
        <v>0</v>
      </c>
      <c r="J185" s="1606">
        <f t="shared" si="33"/>
        <v>0</v>
      </c>
      <c r="K185" s="1606">
        <f t="shared" si="34"/>
        <v>0</v>
      </c>
      <c r="L185" s="195"/>
      <c r="M185" s="196"/>
      <c r="N185" s="196"/>
      <c r="O185" s="196"/>
      <c r="P185" s="196"/>
      <c r="Q185" s="196"/>
      <c r="R185" s="196"/>
      <c r="S185" s="196"/>
      <c r="T185" s="196"/>
      <c r="U185" s="196"/>
      <c r="V185" s="196"/>
      <c r="W185" s="196"/>
    </row>
    <row r="186" spans="1:23" ht="11.25" customHeight="1" x14ac:dyDescent="0.25">
      <c r="A186" s="1165" t="s">
        <v>2410</v>
      </c>
      <c r="B186" s="1041"/>
      <c r="C186" s="1606">
        <v>0</v>
      </c>
      <c r="D186" s="1606">
        <v>0</v>
      </c>
      <c r="E186" s="1628">
        <v>0</v>
      </c>
      <c r="F186" s="1629">
        <v>0</v>
      </c>
      <c r="G186" s="1629">
        <v>0</v>
      </c>
      <c r="H186" s="1606">
        <f t="shared" si="32"/>
        <v>0</v>
      </c>
      <c r="I186" s="1608">
        <v>0</v>
      </c>
      <c r="J186" s="1606">
        <f t="shared" si="33"/>
        <v>0</v>
      </c>
      <c r="K186" s="1606">
        <f t="shared" si="34"/>
        <v>0</v>
      </c>
      <c r="L186" s="195"/>
      <c r="M186" s="196"/>
      <c r="N186" s="196"/>
      <c r="O186" s="196"/>
      <c r="P186" s="196"/>
      <c r="Q186" s="196"/>
      <c r="R186" s="196"/>
      <c r="S186" s="196"/>
      <c r="T186" s="196"/>
      <c r="U186" s="196"/>
      <c r="V186" s="196"/>
      <c r="W186" s="196"/>
    </row>
    <row r="187" spans="1:23" ht="11.25" customHeight="1" x14ac:dyDescent="0.25">
      <c r="A187" s="1165" t="s">
        <v>2411</v>
      </c>
      <c r="B187" s="1041"/>
      <c r="C187" s="1629">
        <v>478000</v>
      </c>
      <c r="D187" s="1608">
        <v>0</v>
      </c>
      <c r="E187" s="1608">
        <v>0</v>
      </c>
      <c r="F187" s="1629">
        <v>0</v>
      </c>
      <c r="G187" s="1629">
        <v>0</v>
      </c>
      <c r="H187" s="1606">
        <f t="shared" si="32"/>
        <v>0</v>
      </c>
      <c r="I187" s="1608">
        <v>0</v>
      </c>
      <c r="J187" s="1606">
        <f t="shared" si="33"/>
        <v>0</v>
      </c>
      <c r="K187" s="1606">
        <f t="shared" si="34"/>
        <v>0</v>
      </c>
      <c r="L187" s="195"/>
      <c r="M187" s="196"/>
      <c r="N187" s="196"/>
      <c r="O187" s="196"/>
      <c r="P187" s="196"/>
      <c r="Q187" s="196"/>
      <c r="R187" s="196"/>
      <c r="S187" s="196"/>
      <c r="T187" s="196"/>
      <c r="U187" s="196"/>
      <c r="V187" s="196"/>
      <c r="W187" s="196"/>
    </row>
    <row r="188" spans="1:23" ht="11.25" customHeight="1" x14ac:dyDescent="0.25">
      <c r="A188" s="1165" t="s">
        <v>2412</v>
      </c>
      <c r="B188" s="1041"/>
      <c r="C188" s="1629">
        <v>0</v>
      </c>
      <c r="D188" s="1608">
        <v>614628.71</v>
      </c>
      <c r="E188" s="1608">
        <v>84562.7</v>
      </c>
      <c r="F188" s="1608">
        <v>200000</v>
      </c>
      <c r="G188" s="1048">
        <v>54972</v>
      </c>
      <c r="H188" s="1606">
        <f t="shared" si="32"/>
        <v>54972</v>
      </c>
      <c r="I188" s="1621">
        <v>50000</v>
      </c>
      <c r="J188" s="1606">
        <f t="shared" si="33"/>
        <v>52950</v>
      </c>
      <c r="K188" s="1606">
        <f t="shared" si="34"/>
        <v>55915.200000000004</v>
      </c>
      <c r="L188" s="195"/>
      <c r="M188" s="196"/>
      <c r="N188" s="196"/>
      <c r="O188" s="196"/>
      <c r="P188" s="196"/>
      <c r="Q188" s="196"/>
      <c r="R188" s="196"/>
      <c r="S188" s="196"/>
      <c r="T188" s="196"/>
      <c r="U188" s="196"/>
      <c r="V188" s="196"/>
      <c r="W188" s="196"/>
    </row>
    <row r="189" spans="1:23" ht="11.25" customHeight="1" x14ac:dyDescent="0.25">
      <c r="A189" s="1165" t="s">
        <v>2413</v>
      </c>
      <c r="B189" s="1041"/>
      <c r="C189" s="1629">
        <v>0</v>
      </c>
      <c r="D189" s="1608">
        <v>614444.85</v>
      </c>
      <c r="E189" s="1608">
        <v>649427.46</v>
      </c>
      <c r="F189" s="1608">
        <v>100000</v>
      </c>
      <c r="G189" s="1606">
        <v>100000</v>
      </c>
      <c r="H189" s="1606">
        <f t="shared" si="32"/>
        <v>100000</v>
      </c>
      <c r="I189" s="1621">
        <v>90000</v>
      </c>
      <c r="J189" s="1606">
        <f t="shared" si="33"/>
        <v>95310</v>
      </c>
      <c r="K189" s="1606">
        <f t="shared" si="34"/>
        <v>100647.36</v>
      </c>
      <c r="L189" s="195"/>
      <c r="M189" s="196"/>
      <c r="N189" s="196"/>
      <c r="O189" s="196"/>
      <c r="P189" s="196"/>
      <c r="Q189" s="196"/>
      <c r="R189" s="196"/>
      <c r="S189" s="196"/>
      <c r="T189" s="196"/>
      <c r="U189" s="196"/>
      <c r="V189" s="196"/>
      <c r="W189" s="196"/>
    </row>
    <row r="190" spans="1:23" ht="11.25" customHeight="1" x14ac:dyDescent="0.25">
      <c r="A190" s="1165" t="s">
        <v>2414</v>
      </c>
      <c r="B190" s="1041"/>
      <c r="C190" s="1606">
        <v>0</v>
      </c>
      <c r="D190" s="1606">
        <v>0</v>
      </c>
      <c r="E190" s="1628">
        <v>0</v>
      </c>
      <c r="F190" s="1629">
        <v>0</v>
      </c>
      <c r="G190" s="1606"/>
      <c r="H190" s="1606">
        <f t="shared" si="32"/>
        <v>0</v>
      </c>
      <c r="I190" s="1608"/>
      <c r="J190" s="1606">
        <f t="shared" si="33"/>
        <v>0</v>
      </c>
      <c r="K190" s="1606">
        <f t="shared" si="34"/>
        <v>0</v>
      </c>
      <c r="L190" s="195"/>
      <c r="M190" s="196"/>
      <c r="N190" s="196"/>
      <c r="O190" s="196"/>
      <c r="P190" s="196"/>
      <c r="Q190" s="196"/>
      <c r="R190" s="196"/>
      <c r="S190" s="196"/>
      <c r="T190" s="196"/>
      <c r="U190" s="196"/>
      <c r="V190" s="196"/>
      <c r="W190" s="196"/>
    </row>
    <row r="191" spans="1:23" ht="11.25" customHeight="1" x14ac:dyDescent="0.25">
      <c r="A191" s="1165" t="s">
        <v>2415</v>
      </c>
      <c r="B191" s="1041"/>
      <c r="C191" s="1629">
        <v>25500000</v>
      </c>
      <c r="D191" s="1608">
        <v>1906173.83</v>
      </c>
      <c r="E191" s="1608">
        <v>2761494.97</v>
      </c>
      <c r="F191" s="1608">
        <v>1000000</v>
      </c>
      <c r="G191" s="1048">
        <v>1400000</v>
      </c>
      <c r="H191" s="1606">
        <f t="shared" si="32"/>
        <v>1400000</v>
      </c>
      <c r="I191" s="1621">
        <v>450000</v>
      </c>
      <c r="J191" s="1606">
        <f t="shared" si="33"/>
        <v>476550</v>
      </c>
      <c r="K191" s="1606">
        <f t="shared" si="34"/>
        <v>503236.80000000005</v>
      </c>
      <c r="L191" s="195"/>
      <c r="M191" s="196"/>
      <c r="N191" s="196"/>
      <c r="O191" s="196"/>
      <c r="P191" s="196"/>
      <c r="Q191" s="196"/>
      <c r="R191" s="196"/>
      <c r="S191" s="196"/>
      <c r="T191" s="196"/>
      <c r="U191" s="196"/>
      <c r="V191" s="196"/>
      <c r="W191" s="196"/>
    </row>
    <row r="192" spans="1:23" ht="11.25" customHeight="1" x14ac:dyDescent="0.25">
      <c r="A192" s="1165" t="s">
        <v>2416</v>
      </c>
      <c r="B192" s="1041"/>
      <c r="C192" s="1629">
        <v>531000</v>
      </c>
      <c r="D192" s="1608">
        <v>968876.99</v>
      </c>
      <c r="E192" s="1608">
        <v>887929.72</v>
      </c>
      <c r="F192" s="1608">
        <v>1000000</v>
      </c>
      <c r="G192" s="1048">
        <v>1943949.46</v>
      </c>
      <c r="H192" s="1606">
        <f t="shared" si="32"/>
        <v>1943949.46</v>
      </c>
      <c r="I192" s="1621">
        <v>2000000</v>
      </c>
      <c r="J192" s="1606">
        <v>2118000</v>
      </c>
      <c r="K192" s="1606">
        <v>2236608</v>
      </c>
      <c r="L192" s="195"/>
      <c r="M192" s="196"/>
      <c r="N192" s="196"/>
      <c r="O192" s="196"/>
      <c r="P192" s="196"/>
      <c r="Q192" s="196"/>
      <c r="R192" s="196"/>
      <c r="S192" s="196"/>
      <c r="T192" s="196"/>
      <c r="U192" s="196"/>
      <c r="V192" s="196"/>
      <c r="W192" s="196"/>
    </row>
    <row r="193" spans="1:23" ht="11.25" customHeight="1" x14ac:dyDescent="0.25">
      <c r="A193" s="1165" t="s">
        <v>2417</v>
      </c>
      <c r="B193" s="1041"/>
      <c r="C193" s="1629">
        <v>0</v>
      </c>
      <c r="D193" s="1608">
        <v>808831</v>
      </c>
      <c r="E193" s="1608">
        <v>0</v>
      </c>
      <c r="F193" s="1608">
        <v>0</v>
      </c>
      <c r="G193" s="1608">
        <v>0</v>
      </c>
      <c r="H193" s="1606">
        <f t="shared" si="32"/>
        <v>0</v>
      </c>
      <c r="I193" s="1608"/>
      <c r="J193" s="1606">
        <f t="shared" si="33"/>
        <v>0</v>
      </c>
      <c r="K193" s="1606">
        <f t="shared" si="34"/>
        <v>0</v>
      </c>
      <c r="L193" s="195"/>
      <c r="M193" s="196"/>
      <c r="N193" s="196"/>
      <c r="O193" s="196"/>
      <c r="P193" s="196"/>
      <c r="Q193" s="196"/>
      <c r="R193" s="196"/>
      <c r="S193" s="196"/>
      <c r="T193" s="196"/>
      <c r="U193" s="196"/>
      <c r="V193" s="196"/>
      <c r="W193" s="196"/>
    </row>
    <row r="194" spans="1:23" ht="11.25" customHeight="1" x14ac:dyDescent="0.25">
      <c r="A194" s="1165" t="s">
        <v>2418</v>
      </c>
      <c r="B194" s="1041"/>
      <c r="C194" s="1629">
        <v>200000</v>
      </c>
      <c r="D194" s="1608">
        <v>0</v>
      </c>
      <c r="E194" s="1608">
        <v>0</v>
      </c>
      <c r="F194" s="1608">
        <v>0</v>
      </c>
      <c r="G194" s="1608">
        <v>0</v>
      </c>
      <c r="H194" s="1606">
        <f t="shared" si="32"/>
        <v>0</v>
      </c>
      <c r="I194" s="1608"/>
      <c r="J194" s="1606">
        <f t="shared" si="33"/>
        <v>0</v>
      </c>
      <c r="K194" s="1606">
        <f t="shared" si="34"/>
        <v>0</v>
      </c>
      <c r="L194" s="195"/>
      <c r="M194" s="196"/>
      <c r="N194" s="196"/>
      <c r="O194" s="196"/>
      <c r="P194" s="196"/>
      <c r="Q194" s="196"/>
      <c r="R194" s="196"/>
      <c r="S194" s="196"/>
      <c r="T194" s="196"/>
      <c r="U194" s="196"/>
      <c r="V194" s="196"/>
      <c r="W194" s="196"/>
    </row>
    <row r="195" spans="1:23" ht="11.25" customHeight="1" x14ac:dyDescent="0.25">
      <c r="A195" s="1165" t="s">
        <v>2419</v>
      </c>
      <c r="B195" s="1041"/>
      <c r="C195" s="1629">
        <v>17006000</v>
      </c>
      <c r="D195" s="1608">
        <v>0</v>
      </c>
      <c r="E195" s="1608">
        <v>0</v>
      </c>
      <c r="F195" s="1608">
        <v>0</v>
      </c>
      <c r="G195" s="1608">
        <v>0</v>
      </c>
      <c r="H195" s="1606">
        <f t="shared" si="32"/>
        <v>0</v>
      </c>
      <c r="I195" s="1608"/>
      <c r="J195" s="1606">
        <f t="shared" si="33"/>
        <v>0</v>
      </c>
      <c r="K195" s="1606">
        <f t="shared" si="34"/>
        <v>0</v>
      </c>
      <c r="L195" s="195"/>
      <c r="M195" s="196"/>
      <c r="N195" s="196"/>
      <c r="O195" s="196"/>
      <c r="P195" s="196"/>
      <c r="Q195" s="196"/>
      <c r="R195" s="196"/>
      <c r="S195" s="196"/>
      <c r="T195" s="196"/>
      <c r="U195" s="196"/>
      <c r="V195" s="196"/>
      <c r="W195" s="196"/>
    </row>
    <row r="196" spans="1:23" ht="11.25" customHeight="1" x14ac:dyDescent="0.25">
      <c r="A196" s="1165" t="s">
        <v>2420</v>
      </c>
      <c r="B196" s="1041"/>
      <c r="C196" s="1629">
        <v>2304000</v>
      </c>
      <c r="D196" s="1608">
        <v>4130099.84</v>
      </c>
      <c r="E196" s="1608">
        <v>0</v>
      </c>
      <c r="F196" s="1608">
        <v>0</v>
      </c>
      <c r="G196" s="1608">
        <v>0</v>
      </c>
      <c r="H196" s="1606">
        <f t="shared" si="32"/>
        <v>0</v>
      </c>
      <c r="I196" s="1621">
        <v>0</v>
      </c>
      <c r="J196" s="1606">
        <f t="shared" si="33"/>
        <v>0</v>
      </c>
      <c r="K196" s="1606">
        <f t="shared" si="34"/>
        <v>0</v>
      </c>
      <c r="L196" s="195"/>
      <c r="M196" s="196"/>
      <c r="N196" s="196"/>
      <c r="O196" s="196"/>
      <c r="P196" s="196"/>
      <c r="Q196" s="196"/>
      <c r="R196" s="196"/>
      <c r="S196" s="196"/>
      <c r="T196" s="196"/>
      <c r="U196" s="196"/>
      <c r="V196" s="196"/>
      <c r="W196" s="196"/>
    </row>
    <row r="197" spans="1:23" ht="11.25" customHeight="1" x14ac:dyDescent="0.25">
      <c r="A197" s="2666" t="s">
        <v>2619</v>
      </c>
      <c r="B197" s="1041"/>
      <c r="C197" s="1629">
        <v>64066096</v>
      </c>
      <c r="D197" s="1608">
        <v>131315343.87</v>
      </c>
      <c r="E197" s="1608">
        <v>105254989.09999999</v>
      </c>
      <c r="F197" s="1608">
        <v>174084397.236</v>
      </c>
      <c r="G197" s="1608">
        <v>0</v>
      </c>
      <c r="H197" s="1606"/>
      <c r="I197" s="1621">
        <v>105254900</v>
      </c>
      <c r="J197" s="1606">
        <f t="shared" si="33"/>
        <v>111464939.09999999</v>
      </c>
      <c r="K197" s="1606">
        <f t="shared" si="34"/>
        <v>117706975.68960001</v>
      </c>
      <c r="L197" s="195"/>
      <c r="M197" s="196"/>
      <c r="N197" s="196"/>
      <c r="O197" s="196"/>
      <c r="P197" s="196"/>
      <c r="Q197" s="196"/>
      <c r="R197" s="196"/>
      <c r="S197" s="196"/>
      <c r="T197" s="196"/>
      <c r="U197" s="196"/>
      <c r="V197" s="196"/>
      <c r="W197" s="196"/>
    </row>
    <row r="198" spans="1:23" ht="11.25" customHeight="1" x14ac:dyDescent="0.25">
      <c r="A198" s="2667" t="s">
        <v>2603</v>
      </c>
      <c r="B198" s="1041"/>
      <c r="C198" s="1606">
        <v>0</v>
      </c>
      <c r="D198" s="1606">
        <v>0</v>
      </c>
      <c r="E198" s="1628">
        <v>8569948.9700000007</v>
      </c>
      <c r="F198" s="1629">
        <v>0</v>
      </c>
      <c r="G198" s="1048">
        <v>15000000</v>
      </c>
      <c r="H198" s="1606">
        <f t="shared" si="32"/>
        <v>15000000</v>
      </c>
      <c r="I198" s="1608">
        <v>15720000</v>
      </c>
      <c r="J198" s="1606">
        <f t="shared" si="33"/>
        <v>16647480</v>
      </c>
      <c r="K198" s="1606">
        <f t="shared" si="34"/>
        <v>17579738.880000003</v>
      </c>
      <c r="L198" s="195"/>
      <c r="M198" s="196"/>
      <c r="N198" s="196"/>
      <c r="O198" s="196"/>
      <c r="P198" s="196"/>
      <c r="Q198" s="196"/>
      <c r="R198" s="196"/>
      <c r="S198" s="196"/>
      <c r="T198" s="196"/>
      <c r="U198" s="196"/>
      <c r="V198" s="196"/>
      <c r="W198" s="196"/>
    </row>
    <row r="199" spans="1:23" ht="11.25" customHeight="1" x14ac:dyDescent="0.25">
      <c r="A199" s="2667" t="s">
        <v>2604</v>
      </c>
      <c r="B199" s="1041"/>
      <c r="C199" s="1606">
        <v>0</v>
      </c>
      <c r="D199" s="1606">
        <v>0</v>
      </c>
      <c r="E199" s="1628">
        <v>758192.59</v>
      </c>
      <c r="F199" s="1629">
        <v>0</v>
      </c>
      <c r="G199" s="1048">
        <v>1500000</v>
      </c>
      <c r="H199" s="1606">
        <f t="shared" si="32"/>
        <v>1500000</v>
      </c>
      <c r="I199" s="1608">
        <v>1572000</v>
      </c>
      <c r="J199" s="1606">
        <f t="shared" si="33"/>
        <v>1664748</v>
      </c>
      <c r="K199" s="1606">
        <f t="shared" si="34"/>
        <v>1757973.888</v>
      </c>
      <c r="L199" s="195"/>
      <c r="M199" s="196"/>
      <c r="N199" s="196"/>
      <c r="O199" s="196"/>
      <c r="P199" s="196"/>
      <c r="Q199" s="196"/>
      <c r="R199" s="196"/>
      <c r="S199" s="196"/>
      <c r="T199" s="196"/>
      <c r="U199" s="196"/>
      <c r="V199" s="196"/>
      <c r="W199" s="196"/>
    </row>
    <row r="200" spans="1:23" ht="11.25" customHeight="1" x14ac:dyDescent="0.25">
      <c r="A200" s="2667" t="s">
        <v>2605</v>
      </c>
      <c r="B200" s="1041"/>
      <c r="C200" s="1606">
        <v>0</v>
      </c>
      <c r="D200" s="1606">
        <v>0</v>
      </c>
      <c r="E200" s="1628">
        <v>664569.56000000006</v>
      </c>
      <c r="F200" s="1629">
        <v>0</v>
      </c>
      <c r="G200" s="1048">
        <v>1000000</v>
      </c>
      <c r="H200" s="1606">
        <f t="shared" si="32"/>
        <v>1000000</v>
      </c>
      <c r="I200" s="1608">
        <v>1048000</v>
      </c>
      <c r="J200" s="1606">
        <f t="shared" si="33"/>
        <v>1109832</v>
      </c>
      <c r="K200" s="1606">
        <f t="shared" si="34"/>
        <v>1171982.5919999999</v>
      </c>
      <c r="L200" s="195"/>
      <c r="M200" s="196"/>
      <c r="N200" s="196"/>
      <c r="O200" s="196"/>
      <c r="P200" s="196"/>
      <c r="Q200" s="196"/>
      <c r="R200" s="196"/>
      <c r="S200" s="196"/>
      <c r="T200" s="196"/>
      <c r="U200" s="196"/>
      <c r="V200" s="196"/>
      <c r="W200" s="196"/>
    </row>
    <row r="201" spans="1:23" ht="11.25" customHeight="1" x14ac:dyDescent="0.25">
      <c r="A201" s="2667" t="s">
        <v>2606</v>
      </c>
      <c r="B201" s="1041"/>
      <c r="C201" s="1606">
        <v>0</v>
      </c>
      <c r="D201" s="1606">
        <v>0</v>
      </c>
      <c r="E201" s="1628">
        <v>26402.080000000002</v>
      </c>
      <c r="F201" s="1629">
        <v>0</v>
      </c>
      <c r="G201" s="1048">
        <v>50000</v>
      </c>
      <c r="H201" s="1606">
        <f t="shared" si="32"/>
        <v>50000</v>
      </c>
      <c r="I201" s="1608">
        <v>52400</v>
      </c>
      <c r="J201" s="1606">
        <f t="shared" si="33"/>
        <v>55491.6</v>
      </c>
      <c r="K201" s="1606">
        <f t="shared" si="34"/>
        <v>58599.1296</v>
      </c>
      <c r="L201" s="195"/>
      <c r="M201" s="196"/>
      <c r="N201" s="196"/>
      <c r="O201" s="196"/>
      <c r="P201" s="196"/>
      <c r="Q201" s="196"/>
      <c r="R201" s="196"/>
      <c r="S201" s="196"/>
      <c r="T201" s="196"/>
      <c r="U201" s="196"/>
      <c r="V201" s="196"/>
      <c r="W201" s="196"/>
    </row>
    <row r="202" spans="1:23" ht="11.25" customHeight="1" x14ac:dyDescent="0.25">
      <c r="A202" s="2667" t="s">
        <v>2607</v>
      </c>
      <c r="B202" s="1041"/>
      <c r="C202" s="1606">
        <v>0</v>
      </c>
      <c r="D202" s="1606">
        <v>0</v>
      </c>
      <c r="E202" s="1628">
        <v>1737483.63</v>
      </c>
      <c r="F202" s="1629">
        <v>0</v>
      </c>
      <c r="G202" s="1048">
        <v>2500000</v>
      </c>
      <c r="H202" s="1606">
        <f t="shared" si="32"/>
        <v>2500000</v>
      </c>
      <c r="I202" s="1608">
        <v>2620000</v>
      </c>
      <c r="J202" s="1606">
        <f t="shared" si="33"/>
        <v>2774580</v>
      </c>
      <c r="K202" s="1606">
        <f t="shared" si="34"/>
        <v>2929956.48</v>
      </c>
      <c r="L202" s="195"/>
      <c r="M202" s="196"/>
      <c r="N202" s="196"/>
      <c r="O202" s="196"/>
      <c r="P202" s="196"/>
      <c r="Q202" s="196"/>
      <c r="R202" s="196"/>
      <c r="S202" s="196"/>
      <c r="T202" s="196"/>
      <c r="U202" s="196"/>
      <c r="V202" s="196"/>
      <c r="W202" s="196"/>
    </row>
    <row r="203" spans="1:23" ht="11.25" customHeight="1" x14ac:dyDescent="0.25">
      <c r="A203" s="2667" t="s">
        <v>2608</v>
      </c>
      <c r="B203" s="1041"/>
      <c r="C203" s="1606">
        <v>0</v>
      </c>
      <c r="D203" s="1606">
        <v>0</v>
      </c>
      <c r="E203" s="1628">
        <v>2813414.9</v>
      </c>
      <c r="F203" s="1629">
        <v>0</v>
      </c>
      <c r="G203" s="1048">
        <v>3600000</v>
      </c>
      <c r="H203" s="1606">
        <f t="shared" si="32"/>
        <v>3600000</v>
      </c>
      <c r="I203" s="1608">
        <v>3772800</v>
      </c>
      <c r="J203" s="1606">
        <f t="shared" si="33"/>
        <v>3995395.1999999997</v>
      </c>
      <c r="K203" s="1606">
        <f t="shared" si="34"/>
        <v>4219137.3311999999</v>
      </c>
      <c r="L203" s="195"/>
      <c r="M203" s="196"/>
      <c r="N203" s="196"/>
      <c r="O203" s="196"/>
      <c r="P203" s="196"/>
      <c r="Q203" s="196"/>
      <c r="R203" s="196"/>
      <c r="S203" s="196"/>
      <c r="T203" s="196"/>
      <c r="U203" s="196"/>
      <c r="V203" s="196"/>
      <c r="W203" s="196"/>
    </row>
    <row r="204" spans="1:23" ht="11.25" customHeight="1" x14ac:dyDescent="0.25">
      <c r="A204" s="2667" t="s">
        <v>2609</v>
      </c>
      <c r="B204" s="1041"/>
      <c r="C204" s="1606">
        <v>0</v>
      </c>
      <c r="D204" s="1606">
        <v>0</v>
      </c>
      <c r="E204" s="1628">
        <v>10903340.52</v>
      </c>
      <c r="F204" s="1629">
        <v>0</v>
      </c>
      <c r="G204" s="1048">
        <v>20000000</v>
      </c>
      <c r="H204" s="1606">
        <f t="shared" si="32"/>
        <v>20000000</v>
      </c>
      <c r="I204" s="1608">
        <v>20960000</v>
      </c>
      <c r="J204" s="1606">
        <f t="shared" si="33"/>
        <v>22196640</v>
      </c>
      <c r="K204" s="1606">
        <f t="shared" si="34"/>
        <v>23439651.84</v>
      </c>
      <c r="L204" s="195"/>
      <c r="M204" s="196"/>
      <c r="N204" s="196"/>
      <c r="O204" s="196"/>
      <c r="P204" s="196"/>
      <c r="Q204" s="196"/>
      <c r="R204" s="196"/>
      <c r="S204" s="196"/>
      <c r="T204" s="196"/>
      <c r="U204" s="196"/>
      <c r="V204" s="196"/>
      <c r="W204" s="196"/>
    </row>
    <row r="205" spans="1:23" ht="11.25" customHeight="1" x14ac:dyDescent="0.25">
      <c r="A205" s="2666" t="s">
        <v>2421</v>
      </c>
      <c r="B205" s="1041"/>
      <c r="C205" s="1629">
        <v>2000000</v>
      </c>
      <c r="D205" s="1608">
        <v>1352946.24</v>
      </c>
      <c r="E205" s="1608">
        <v>0</v>
      </c>
      <c r="F205" s="1608">
        <v>0</v>
      </c>
      <c r="G205" s="1606"/>
      <c r="H205" s="1606">
        <f t="shared" si="32"/>
        <v>0</v>
      </c>
      <c r="I205" s="1608">
        <v>0</v>
      </c>
      <c r="J205" s="1606">
        <f t="shared" si="33"/>
        <v>0</v>
      </c>
      <c r="K205" s="1606">
        <f t="shared" si="34"/>
        <v>0</v>
      </c>
      <c r="L205" s="195"/>
      <c r="M205" s="196"/>
      <c r="N205" s="196"/>
      <c r="O205" s="196"/>
      <c r="P205" s="196"/>
      <c r="Q205" s="196"/>
      <c r="R205" s="196"/>
      <c r="S205" s="196"/>
      <c r="T205" s="196"/>
      <c r="U205" s="196"/>
      <c r="V205" s="196"/>
      <c r="W205" s="196"/>
    </row>
    <row r="206" spans="1:23" ht="11.25" customHeight="1" x14ac:dyDescent="0.25">
      <c r="A206" s="2666" t="s">
        <v>2422</v>
      </c>
      <c r="B206" s="1041"/>
      <c r="C206" s="1629">
        <v>3800000</v>
      </c>
      <c r="D206" s="1608">
        <v>3308739.97</v>
      </c>
      <c r="E206" s="1608">
        <v>0</v>
      </c>
      <c r="F206" s="1608">
        <v>0</v>
      </c>
      <c r="G206" s="1606"/>
      <c r="H206" s="1606">
        <f t="shared" si="32"/>
        <v>0</v>
      </c>
      <c r="I206" s="1608">
        <v>0</v>
      </c>
      <c r="J206" s="1606">
        <f t="shared" si="33"/>
        <v>0</v>
      </c>
      <c r="K206" s="1606">
        <f t="shared" si="34"/>
        <v>0</v>
      </c>
      <c r="L206" s="195"/>
      <c r="M206" s="196"/>
      <c r="N206" s="196"/>
      <c r="O206" s="196"/>
      <c r="P206" s="196"/>
      <c r="Q206" s="196"/>
      <c r="R206" s="196"/>
      <c r="S206" s="196"/>
      <c r="T206" s="196"/>
      <c r="U206" s="196"/>
      <c r="V206" s="196"/>
      <c r="W206" s="196"/>
    </row>
    <row r="207" spans="1:23" ht="11.25" customHeight="1" x14ac:dyDescent="0.25">
      <c r="A207" s="2666" t="s">
        <v>2423</v>
      </c>
      <c r="B207" s="1041"/>
      <c r="C207" s="1629">
        <v>0</v>
      </c>
      <c r="D207" s="1608">
        <v>28023.65</v>
      </c>
      <c r="E207" s="1608">
        <v>0</v>
      </c>
      <c r="F207" s="1608">
        <v>0</v>
      </c>
      <c r="G207" s="1606"/>
      <c r="H207" s="1606">
        <f t="shared" si="32"/>
        <v>0</v>
      </c>
      <c r="I207" s="1608">
        <v>0</v>
      </c>
      <c r="J207" s="1606">
        <f t="shared" si="33"/>
        <v>0</v>
      </c>
      <c r="K207" s="1606">
        <f t="shared" si="34"/>
        <v>0</v>
      </c>
      <c r="L207" s="195"/>
      <c r="M207" s="196"/>
      <c r="N207" s="196"/>
      <c r="O207" s="196"/>
      <c r="P207" s="196"/>
      <c r="Q207" s="196"/>
      <c r="R207" s="196"/>
      <c r="S207" s="196"/>
      <c r="T207" s="196"/>
      <c r="U207" s="196"/>
      <c r="V207" s="196"/>
      <c r="W207" s="196"/>
    </row>
    <row r="208" spans="1:23" ht="11.25" customHeight="1" x14ac:dyDescent="0.25">
      <c r="A208" s="2666" t="s">
        <v>2424</v>
      </c>
      <c r="B208" s="1041"/>
      <c r="C208" s="1629">
        <v>0</v>
      </c>
      <c r="D208" s="1608">
        <v>45215.199999999997</v>
      </c>
      <c r="E208" s="1608">
        <v>0</v>
      </c>
      <c r="F208" s="1629">
        <v>0</v>
      </c>
      <c r="G208" s="1606"/>
      <c r="H208" s="1606">
        <f t="shared" si="32"/>
        <v>0</v>
      </c>
      <c r="I208" s="1608">
        <v>0</v>
      </c>
      <c r="J208" s="1606">
        <f t="shared" si="33"/>
        <v>0</v>
      </c>
      <c r="K208" s="1606">
        <f t="shared" si="34"/>
        <v>0</v>
      </c>
      <c r="L208" s="195"/>
      <c r="M208" s="196"/>
      <c r="N208" s="196"/>
      <c r="O208" s="196"/>
      <c r="P208" s="196"/>
      <c r="Q208" s="196"/>
      <c r="R208" s="196"/>
      <c r="S208" s="196"/>
      <c r="T208" s="196"/>
      <c r="U208" s="196"/>
      <c r="V208" s="196"/>
      <c r="W208" s="196"/>
    </row>
    <row r="209" spans="1:23" ht="11.25" customHeight="1" x14ac:dyDescent="0.25">
      <c r="A209" s="2666" t="s">
        <v>2426</v>
      </c>
      <c r="B209" s="1041"/>
      <c r="C209" s="1629">
        <v>50000000</v>
      </c>
      <c r="D209" s="1608">
        <v>370673.16</v>
      </c>
      <c r="E209" s="1608">
        <v>0</v>
      </c>
      <c r="F209" s="1629">
        <v>0</v>
      </c>
      <c r="G209" s="1606"/>
      <c r="H209" s="1606">
        <f>G209</f>
        <v>0</v>
      </c>
      <c r="I209" s="1608">
        <v>0</v>
      </c>
      <c r="J209" s="1606">
        <f t="shared" si="33"/>
        <v>0</v>
      </c>
      <c r="K209" s="1606">
        <f t="shared" si="34"/>
        <v>0</v>
      </c>
      <c r="L209" s="195"/>
      <c r="M209" s="196"/>
      <c r="N209" s="196"/>
      <c r="O209" s="196"/>
      <c r="P209" s="196"/>
      <c r="Q209" s="196"/>
      <c r="R209" s="196"/>
      <c r="S209" s="196"/>
      <c r="T209" s="196"/>
      <c r="U209" s="196"/>
      <c r="V209" s="196"/>
      <c r="W209" s="196"/>
    </row>
    <row r="210" spans="1:23" ht="11.25" customHeight="1" x14ac:dyDescent="0.25">
      <c r="A210" s="2666" t="s">
        <v>2425</v>
      </c>
      <c r="B210" s="1041"/>
      <c r="C210" s="1629">
        <v>15000000</v>
      </c>
      <c r="D210" s="1608">
        <v>92772.34</v>
      </c>
      <c r="E210" s="1608">
        <v>0</v>
      </c>
      <c r="F210" s="1629">
        <v>0</v>
      </c>
      <c r="G210" s="1606"/>
      <c r="H210" s="1606">
        <f t="shared" si="32"/>
        <v>0</v>
      </c>
      <c r="I210" s="1608">
        <v>0</v>
      </c>
      <c r="J210" s="1606">
        <f t="shared" si="33"/>
        <v>0</v>
      </c>
      <c r="K210" s="1606">
        <f t="shared" si="34"/>
        <v>0</v>
      </c>
      <c r="L210" s="195"/>
      <c r="M210" s="196"/>
      <c r="N210" s="196"/>
      <c r="O210" s="196"/>
      <c r="P210" s="196"/>
      <c r="Q210" s="196"/>
      <c r="R210" s="196"/>
      <c r="S210" s="196"/>
      <c r="T210" s="196"/>
      <c r="U210" s="196"/>
      <c r="V210" s="196"/>
      <c r="W210" s="196"/>
    </row>
    <row r="211" spans="1:23" ht="11.25" customHeight="1" x14ac:dyDescent="0.25">
      <c r="A211" s="2666" t="s">
        <v>2427</v>
      </c>
      <c r="B211" s="1041"/>
      <c r="C211" s="1629">
        <v>1500000</v>
      </c>
      <c r="D211" s="1608">
        <v>1965754.37</v>
      </c>
      <c r="E211" s="1608">
        <v>3318154.75</v>
      </c>
      <c r="F211" s="1629">
        <v>3500000</v>
      </c>
      <c r="G211" s="1606">
        <v>3500000</v>
      </c>
      <c r="H211" s="1606">
        <f t="shared" si="32"/>
        <v>3500000</v>
      </c>
      <c r="I211" s="1621">
        <v>2500000</v>
      </c>
      <c r="J211" s="1606">
        <f t="shared" si="33"/>
        <v>2647500</v>
      </c>
      <c r="K211" s="1606">
        <f t="shared" si="34"/>
        <v>2795760</v>
      </c>
      <c r="L211" s="195"/>
      <c r="M211" s="196"/>
      <c r="N211" s="196"/>
      <c r="O211" s="196"/>
      <c r="P211" s="196"/>
      <c r="Q211" s="196"/>
      <c r="R211" s="196"/>
      <c r="S211" s="196"/>
      <c r="T211" s="196"/>
      <c r="U211" s="196"/>
      <c r="V211" s="196"/>
      <c r="W211" s="196"/>
    </row>
    <row r="212" spans="1:23" ht="11.25" customHeight="1" x14ac:dyDescent="0.25">
      <c r="A212" s="2666" t="s">
        <v>2428</v>
      </c>
      <c r="B212" s="1041"/>
      <c r="C212" s="1629">
        <v>44651056</v>
      </c>
      <c r="D212" s="1608"/>
      <c r="E212" s="1608">
        <v>144668118.27000001</v>
      </c>
      <c r="F212" s="1608">
        <v>55997199.890000001</v>
      </c>
      <c r="G212" s="1606">
        <f>F212</f>
        <v>55997199.890000001</v>
      </c>
      <c r="H212" s="1606">
        <f t="shared" si="32"/>
        <v>55997199.890000001</v>
      </c>
      <c r="I212" s="1608">
        <v>58685065</v>
      </c>
      <c r="J212" s="1606">
        <f t="shared" si="33"/>
        <v>62147483.834999993</v>
      </c>
      <c r="K212" s="1606">
        <f t="shared" si="34"/>
        <v>65627742.929759994</v>
      </c>
      <c r="L212" s="195"/>
      <c r="M212" s="196"/>
      <c r="N212" s="196"/>
      <c r="O212" s="196"/>
      <c r="P212" s="196"/>
      <c r="Q212" s="196"/>
      <c r="R212" s="196"/>
      <c r="S212" s="196"/>
      <c r="T212" s="196"/>
      <c r="U212" s="196"/>
      <c r="V212" s="196"/>
      <c r="W212" s="196"/>
    </row>
    <row r="213" spans="1:23" ht="11.25" customHeight="1" x14ac:dyDescent="0.25">
      <c r="A213" s="2666" t="s">
        <v>2430</v>
      </c>
      <c r="B213" s="1041"/>
      <c r="C213" s="1629">
        <v>576000</v>
      </c>
      <c r="D213" s="1608"/>
      <c r="E213" s="1608">
        <v>3270400</v>
      </c>
      <c r="F213" s="1608">
        <v>4224000</v>
      </c>
      <c r="G213" s="1048">
        <v>4010500</v>
      </c>
      <c r="H213" s="1606">
        <f t="shared" si="32"/>
        <v>4010500</v>
      </c>
      <c r="I213" s="1608">
        <v>4300000</v>
      </c>
      <c r="J213" s="1606">
        <f t="shared" si="33"/>
        <v>4553700</v>
      </c>
      <c r="K213" s="1606">
        <f t="shared" si="34"/>
        <v>4808707.2</v>
      </c>
      <c r="L213" s="195"/>
      <c r="M213" s="196"/>
      <c r="N213" s="196"/>
      <c r="O213" s="196"/>
      <c r="P213" s="196"/>
      <c r="Q213" s="196"/>
      <c r="R213" s="196"/>
      <c r="S213" s="196"/>
      <c r="T213" s="196"/>
      <c r="U213" s="196"/>
      <c r="V213" s="196"/>
      <c r="W213" s="196"/>
    </row>
    <row r="214" spans="1:23" ht="11.25" customHeight="1" x14ac:dyDescent="0.25">
      <c r="A214" s="1165" t="s">
        <v>2431</v>
      </c>
      <c r="B214" s="1041"/>
      <c r="C214" s="1606">
        <v>0</v>
      </c>
      <c r="D214" s="1628"/>
      <c r="E214" s="1629">
        <v>76800</v>
      </c>
      <c r="F214" s="1608">
        <v>0</v>
      </c>
      <c r="G214" s="1606">
        <v>0</v>
      </c>
      <c r="H214" s="1606">
        <f t="shared" si="32"/>
        <v>0</v>
      </c>
      <c r="I214" s="1608"/>
      <c r="J214" s="1606">
        <f t="shared" si="33"/>
        <v>0</v>
      </c>
      <c r="K214" s="1606">
        <f t="shared" si="34"/>
        <v>0</v>
      </c>
      <c r="L214" s="195"/>
      <c r="M214" s="196"/>
      <c r="N214" s="196"/>
      <c r="O214" s="196"/>
      <c r="P214" s="196"/>
      <c r="Q214" s="196"/>
      <c r="R214" s="196"/>
      <c r="S214" s="196"/>
      <c r="T214" s="196"/>
      <c r="U214" s="196"/>
      <c r="V214" s="196"/>
      <c r="W214" s="196"/>
    </row>
    <row r="215" spans="1:23" ht="11.25" customHeight="1" x14ac:dyDescent="0.25">
      <c r="A215" s="1165" t="s">
        <v>2610</v>
      </c>
      <c r="B215" s="1041"/>
      <c r="C215" s="1606">
        <v>0</v>
      </c>
      <c r="D215" s="1630">
        <v>0</v>
      </c>
      <c r="E215" s="1630">
        <v>2517052.54</v>
      </c>
      <c r="F215" s="1629"/>
      <c r="G215" s="1606"/>
      <c r="H215" s="1630"/>
      <c r="I215" s="1608">
        <v>2637871</v>
      </c>
      <c r="J215" s="1606">
        <f t="shared" si="33"/>
        <v>2793505.389</v>
      </c>
      <c r="K215" s="1606">
        <f t="shared" si="34"/>
        <v>2949941.6907840003</v>
      </c>
      <c r="L215" s="195"/>
      <c r="M215" s="196"/>
      <c r="N215" s="196"/>
      <c r="O215" s="196"/>
      <c r="P215" s="196"/>
      <c r="Q215" s="196"/>
      <c r="R215" s="196"/>
      <c r="S215" s="196"/>
      <c r="T215" s="196"/>
      <c r="U215" s="196"/>
      <c r="V215" s="196"/>
      <c r="W215" s="196"/>
    </row>
    <row r="216" spans="1:23" ht="11.25" customHeight="1" x14ac:dyDescent="0.25">
      <c r="A216" s="1165">
        <f>A15</f>
        <v>0</v>
      </c>
      <c r="B216" s="1041"/>
      <c r="C216" s="1606"/>
      <c r="D216" s="1606"/>
      <c r="E216" s="1628"/>
      <c r="F216" s="1629"/>
      <c r="G216" s="1606"/>
      <c r="H216" s="1630"/>
      <c r="I216" s="1608"/>
      <c r="J216" s="1606"/>
      <c r="K216" s="2677"/>
      <c r="L216" s="195"/>
      <c r="M216" s="196"/>
      <c r="N216" s="196"/>
      <c r="O216" s="196"/>
      <c r="P216" s="196"/>
      <c r="Q216" s="196"/>
      <c r="R216" s="196"/>
      <c r="S216" s="196"/>
      <c r="T216" s="196"/>
      <c r="U216" s="196"/>
      <c r="V216" s="196"/>
      <c r="W216" s="196"/>
    </row>
    <row r="217" spans="1:23" ht="15" customHeight="1" x14ac:dyDescent="0.25">
      <c r="A217" s="1164" t="str">
        <f>A16</f>
        <v>Vote 2 - 102 MUNICIPAL MANAGER</v>
      </c>
      <c r="B217" s="1053"/>
      <c r="C217" s="971">
        <f t="shared" ref="C217:K217" si="35">SUM(C218:C251)</f>
        <v>109662733</v>
      </c>
      <c r="D217" s="971">
        <f t="shared" si="35"/>
        <v>11474857.019999998</v>
      </c>
      <c r="E217" s="972">
        <f t="shared" si="35"/>
        <v>9691324</v>
      </c>
      <c r="F217" s="973">
        <f t="shared" si="35"/>
        <v>18781167</v>
      </c>
      <c r="G217" s="971">
        <f t="shared" si="35"/>
        <v>18398318.530000001</v>
      </c>
      <c r="H217" s="974">
        <f t="shared" si="35"/>
        <v>18398318.530000001</v>
      </c>
      <c r="I217" s="975">
        <f t="shared" si="35"/>
        <v>19408982</v>
      </c>
      <c r="J217" s="971">
        <f t="shared" si="35"/>
        <v>20554111.938000001</v>
      </c>
      <c r="K217" s="971">
        <f t="shared" si="35"/>
        <v>21705142.206527997</v>
      </c>
      <c r="L217" s="208"/>
      <c r="M217" s="209"/>
      <c r="N217" s="209"/>
      <c r="O217" s="209"/>
      <c r="P217" s="209"/>
      <c r="Q217" s="209"/>
      <c r="R217" s="209"/>
      <c r="S217" s="209"/>
      <c r="T217" s="209"/>
      <c r="U217" s="209"/>
      <c r="V217" s="209"/>
      <c r="W217" s="209"/>
    </row>
    <row r="218" spans="1:23" ht="11.25" customHeight="1" x14ac:dyDescent="0.25">
      <c r="A218" s="1165" t="s">
        <v>2375</v>
      </c>
      <c r="B218" s="1041"/>
      <c r="C218" s="1629">
        <v>2682000</v>
      </c>
      <c r="D218" s="1608">
        <v>4684982.5199999996</v>
      </c>
      <c r="E218" s="1608">
        <v>5964189.0300000003</v>
      </c>
      <c r="F218" s="1608">
        <v>7702103</v>
      </c>
      <c r="G218" s="1048">
        <f>F218+-581253</f>
        <v>7120850</v>
      </c>
      <c r="H218" s="1048">
        <f>G218</f>
        <v>7120850</v>
      </c>
      <c r="I218" s="1621">
        <v>7263619</v>
      </c>
      <c r="J218" s="1606">
        <v>7692172.5209999997</v>
      </c>
      <c r="K218" s="1606">
        <v>8122934.1821760004</v>
      </c>
      <c r="L218" s="208"/>
      <c r="M218" s="209"/>
      <c r="N218" s="209"/>
      <c r="O218" s="209"/>
      <c r="P218" s="209"/>
      <c r="Q218" s="209"/>
      <c r="R218" s="209"/>
      <c r="S218" s="209"/>
      <c r="T218" s="209"/>
      <c r="U218" s="209"/>
      <c r="V218" s="209"/>
      <c r="W218" s="209"/>
    </row>
    <row r="219" spans="1:23" ht="11.25" customHeight="1" x14ac:dyDescent="0.25">
      <c r="A219" s="1165" t="s">
        <v>2432</v>
      </c>
      <c r="B219" s="1041"/>
      <c r="C219" s="1629">
        <v>0</v>
      </c>
      <c r="D219" s="1608">
        <v>86528.22</v>
      </c>
      <c r="E219" s="1608">
        <v>365535.71</v>
      </c>
      <c r="F219" s="1608">
        <v>284000</v>
      </c>
      <c r="G219" s="1048">
        <f>F219+99949</f>
        <v>383949</v>
      </c>
      <c r="H219" s="1048">
        <f t="shared" ref="H219:H246" si="36">G219</f>
        <v>383949</v>
      </c>
      <c r="I219" s="1608">
        <v>605302</v>
      </c>
      <c r="J219" s="1606">
        <v>641014.81799999997</v>
      </c>
      <c r="K219" s="1606">
        <v>676911.64780799998</v>
      </c>
      <c r="L219" s="208"/>
      <c r="M219" s="209"/>
      <c r="N219" s="209"/>
      <c r="O219" s="209"/>
      <c r="P219" s="209"/>
      <c r="Q219" s="209"/>
      <c r="R219" s="209"/>
      <c r="S219" s="209"/>
      <c r="T219" s="209"/>
      <c r="U219" s="209"/>
      <c r="V219" s="209"/>
      <c r="W219" s="209"/>
    </row>
    <row r="220" spans="1:23" ht="11.25" customHeight="1" x14ac:dyDescent="0.25">
      <c r="A220" s="1165" t="s">
        <v>2433</v>
      </c>
      <c r="B220" s="1041"/>
      <c r="C220" s="1629">
        <v>0</v>
      </c>
      <c r="D220" s="1608">
        <v>1148.3499999999999</v>
      </c>
      <c r="E220" s="1608">
        <v>1362.85</v>
      </c>
      <c r="F220" s="1608">
        <v>10680</v>
      </c>
      <c r="G220" s="1048">
        <f>F220+-9080</f>
        <v>1600</v>
      </c>
      <c r="H220" s="1048">
        <f t="shared" si="36"/>
        <v>1600</v>
      </c>
      <c r="I220" s="1608">
        <v>1914</v>
      </c>
      <c r="J220" s="1606">
        <v>2026.9259999999999</v>
      </c>
      <c r="K220" s="1606">
        <v>2140.4338560000001</v>
      </c>
      <c r="L220" s="208"/>
      <c r="M220" s="209"/>
      <c r="N220" s="209"/>
      <c r="O220" s="209"/>
      <c r="P220" s="209"/>
      <c r="Q220" s="209"/>
      <c r="R220" s="209"/>
      <c r="S220" s="209"/>
      <c r="T220" s="209"/>
      <c r="U220" s="209"/>
      <c r="V220" s="209"/>
      <c r="W220" s="209"/>
    </row>
    <row r="221" spans="1:23" ht="11.25" customHeight="1" x14ac:dyDescent="0.25">
      <c r="A221" s="1165" t="s">
        <v>2434</v>
      </c>
      <c r="B221" s="1041"/>
      <c r="C221" s="1629">
        <v>0</v>
      </c>
      <c r="D221" s="1608">
        <v>134077.68</v>
      </c>
      <c r="E221" s="1608">
        <v>17815.3</v>
      </c>
      <c r="F221" s="1608">
        <v>0</v>
      </c>
      <c r="G221" s="1048">
        <v>0</v>
      </c>
      <c r="H221" s="1048">
        <f t="shared" si="36"/>
        <v>0</v>
      </c>
      <c r="I221" s="1608">
        <v>0</v>
      </c>
      <c r="J221" s="1606">
        <f t="shared" ref="J221:J246" si="37">I221*1.059</f>
        <v>0</v>
      </c>
      <c r="K221" s="1606">
        <f t="shared" ref="K221:K246" si="38">J221*1.056</f>
        <v>0</v>
      </c>
      <c r="L221" s="208"/>
      <c r="M221" s="209"/>
      <c r="N221" s="209"/>
      <c r="O221" s="209"/>
      <c r="P221" s="209"/>
      <c r="Q221" s="209"/>
      <c r="R221" s="209"/>
      <c r="S221" s="209"/>
      <c r="T221" s="209"/>
      <c r="U221" s="209"/>
      <c r="V221" s="209"/>
      <c r="W221" s="209"/>
    </row>
    <row r="222" spans="1:23" ht="11.25" customHeight="1" x14ac:dyDescent="0.25">
      <c r="A222" s="1165" t="s">
        <v>2435</v>
      </c>
      <c r="B222" s="1041"/>
      <c r="C222" s="1629">
        <v>0</v>
      </c>
      <c r="D222" s="1608">
        <v>50347.77</v>
      </c>
      <c r="E222" s="1608">
        <v>27200.35</v>
      </c>
      <c r="F222" s="1608">
        <v>0</v>
      </c>
      <c r="G222" s="1048">
        <v>0</v>
      </c>
      <c r="H222" s="1048">
        <f t="shared" si="36"/>
        <v>0</v>
      </c>
      <c r="I222" s="1608">
        <v>0</v>
      </c>
      <c r="J222" s="1606">
        <f t="shared" si="37"/>
        <v>0</v>
      </c>
      <c r="K222" s="1606">
        <f t="shared" si="38"/>
        <v>0</v>
      </c>
      <c r="L222" s="208"/>
      <c r="M222" s="209"/>
      <c r="N222" s="209"/>
      <c r="O222" s="209"/>
      <c r="P222" s="209"/>
      <c r="Q222" s="209"/>
      <c r="R222" s="209"/>
      <c r="S222" s="209"/>
      <c r="T222" s="209"/>
      <c r="U222" s="209"/>
      <c r="V222" s="209"/>
      <c r="W222" s="209"/>
    </row>
    <row r="223" spans="1:23" ht="11.25" customHeight="1" x14ac:dyDescent="0.25">
      <c r="A223" s="1165" t="s">
        <v>2376</v>
      </c>
      <c r="B223" s="1041"/>
      <c r="C223" s="1629">
        <v>228000</v>
      </c>
      <c r="D223" s="1608">
        <v>597774.1</v>
      </c>
      <c r="E223" s="1608">
        <v>693060.13</v>
      </c>
      <c r="F223" s="1608">
        <v>751554</v>
      </c>
      <c r="G223" s="1048">
        <f>F223+-49554</f>
        <v>702000</v>
      </c>
      <c r="H223" s="1048">
        <f t="shared" si="36"/>
        <v>702000</v>
      </c>
      <c r="I223" s="1621">
        <v>913559</v>
      </c>
      <c r="J223" s="1606">
        <v>967458.98099999991</v>
      </c>
      <c r="K223" s="1606">
        <v>1021636.683936</v>
      </c>
      <c r="L223" s="208"/>
      <c r="M223" s="209"/>
      <c r="N223" s="209"/>
      <c r="O223" s="209"/>
      <c r="P223" s="209"/>
      <c r="Q223" s="209"/>
      <c r="R223" s="209"/>
      <c r="S223" s="209"/>
      <c r="T223" s="209"/>
      <c r="U223" s="209"/>
      <c r="V223" s="209"/>
      <c r="W223" s="209"/>
    </row>
    <row r="224" spans="1:23" ht="11.25" customHeight="1" x14ac:dyDescent="0.25">
      <c r="A224" s="1165" t="s">
        <v>2377</v>
      </c>
      <c r="B224" s="1041"/>
      <c r="C224" s="1629">
        <v>132000</v>
      </c>
      <c r="D224" s="1608">
        <v>212574.6</v>
      </c>
      <c r="E224" s="1608">
        <v>320966.44</v>
      </c>
      <c r="F224" s="1608">
        <v>230566</v>
      </c>
      <c r="G224" s="1048">
        <f>F224+180328</f>
        <v>410894</v>
      </c>
      <c r="H224" s="1048">
        <f t="shared" si="36"/>
        <v>410894</v>
      </c>
      <c r="I224" s="1621">
        <v>451595</v>
      </c>
      <c r="J224" s="1606">
        <v>478239.10499999998</v>
      </c>
      <c r="K224" s="1606">
        <v>505020.49488000001</v>
      </c>
      <c r="L224" s="208"/>
      <c r="M224" s="209"/>
      <c r="N224" s="209"/>
      <c r="O224" s="209"/>
      <c r="P224" s="209"/>
      <c r="Q224" s="209"/>
      <c r="R224" s="209"/>
      <c r="S224" s="209"/>
      <c r="T224" s="209"/>
      <c r="U224" s="209"/>
      <c r="V224" s="209"/>
      <c r="W224" s="209"/>
    </row>
    <row r="225" spans="1:23" ht="11.25" customHeight="1" x14ac:dyDescent="0.25">
      <c r="A225" s="1165" t="s">
        <v>2378</v>
      </c>
      <c r="B225" s="1041"/>
      <c r="C225" s="1629">
        <v>0</v>
      </c>
      <c r="D225" s="1608">
        <v>0</v>
      </c>
      <c r="E225" s="1608">
        <v>0</v>
      </c>
      <c r="F225" s="1608">
        <v>0</v>
      </c>
      <c r="G225" s="1048">
        <v>0</v>
      </c>
      <c r="H225" s="1048">
        <f t="shared" si="36"/>
        <v>0</v>
      </c>
      <c r="I225" s="1608">
        <v>0</v>
      </c>
      <c r="J225" s="1606">
        <f t="shared" si="37"/>
        <v>0</v>
      </c>
      <c r="K225" s="1606">
        <f t="shared" si="38"/>
        <v>0</v>
      </c>
      <c r="L225" s="208"/>
      <c r="M225" s="209"/>
      <c r="N225" s="209"/>
      <c r="O225" s="209"/>
      <c r="P225" s="209"/>
      <c r="Q225" s="209"/>
      <c r="R225" s="209"/>
      <c r="S225" s="209"/>
      <c r="T225" s="209"/>
      <c r="U225" s="209"/>
      <c r="V225" s="209"/>
      <c r="W225" s="209"/>
    </row>
    <row r="226" spans="1:23" ht="11.25" customHeight="1" x14ac:dyDescent="0.25">
      <c r="A226" s="1165" t="s">
        <v>2379</v>
      </c>
      <c r="B226" s="1041"/>
      <c r="C226" s="1629">
        <v>0</v>
      </c>
      <c r="D226" s="1608">
        <v>0</v>
      </c>
      <c r="E226" s="1608">
        <v>0</v>
      </c>
      <c r="F226" s="1608">
        <v>0</v>
      </c>
      <c r="G226" s="1048">
        <v>0</v>
      </c>
      <c r="H226" s="1048">
        <f t="shared" si="36"/>
        <v>0</v>
      </c>
      <c r="I226" s="1608">
        <v>0</v>
      </c>
      <c r="J226" s="1606">
        <f t="shared" si="37"/>
        <v>0</v>
      </c>
      <c r="K226" s="1606">
        <f t="shared" si="38"/>
        <v>0</v>
      </c>
      <c r="L226" s="208"/>
      <c r="M226" s="209"/>
      <c r="N226" s="209"/>
      <c r="O226" s="209"/>
      <c r="P226" s="209"/>
      <c r="Q226" s="209"/>
      <c r="R226" s="209"/>
      <c r="S226" s="209"/>
      <c r="T226" s="209"/>
      <c r="U226" s="209"/>
      <c r="V226" s="209"/>
      <c r="W226" s="209"/>
    </row>
    <row r="227" spans="1:23" ht="11.25" customHeight="1" x14ac:dyDescent="0.25">
      <c r="A227" s="1165" t="s">
        <v>2380</v>
      </c>
      <c r="B227" s="1041"/>
      <c r="C227" s="1629">
        <v>31000</v>
      </c>
      <c r="D227" s="1608">
        <v>24953.49</v>
      </c>
      <c r="E227" s="1608">
        <v>33207.879999999997</v>
      </c>
      <c r="F227" s="1608">
        <v>43574</v>
      </c>
      <c r="G227" s="1048">
        <f>F227+-830</f>
        <v>42744</v>
      </c>
      <c r="H227" s="1048">
        <f t="shared" si="36"/>
        <v>42744</v>
      </c>
      <c r="I227" s="1621">
        <v>62163</v>
      </c>
      <c r="J227" s="1606">
        <v>65830.616999999998</v>
      </c>
      <c r="K227" s="1606">
        <v>69517.131552000006</v>
      </c>
      <c r="L227" s="208"/>
      <c r="M227" s="209"/>
      <c r="N227" s="209"/>
      <c r="O227" s="209"/>
      <c r="P227" s="209"/>
      <c r="Q227" s="209"/>
      <c r="R227" s="209"/>
      <c r="S227" s="209"/>
      <c r="T227" s="209"/>
      <c r="U227" s="209"/>
      <c r="V227" s="209"/>
      <c r="W227" s="209"/>
    </row>
    <row r="228" spans="1:23" ht="11.25" customHeight="1" x14ac:dyDescent="0.25">
      <c r="A228" s="1165" t="s">
        <v>2382</v>
      </c>
      <c r="B228" s="1041"/>
      <c r="C228" s="1629">
        <v>0</v>
      </c>
      <c r="D228" s="1608">
        <v>587500</v>
      </c>
      <c r="E228" s="1608">
        <v>647500</v>
      </c>
      <c r="F228" s="1608">
        <v>572756</v>
      </c>
      <c r="G228" s="1048">
        <f>F228+105244</f>
        <v>678000</v>
      </c>
      <c r="H228" s="1048">
        <f t="shared" si="36"/>
        <v>678000</v>
      </c>
      <c r="I228" s="1621">
        <v>618000</v>
      </c>
      <c r="J228" s="1606">
        <v>654462</v>
      </c>
      <c r="K228" s="1606">
        <v>691111.87200000009</v>
      </c>
      <c r="L228" s="208"/>
      <c r="M228" s="209"/>
      <c r="N228" s="209"/>
      <c r="O228" s="209"/>
      <c r="P228" s="209"/>
      <c r="Q228" s="209"/>
      <c r="R228" s="209"/>
      <c r="S228" s="209"/>
      <c r="T228" s="209"/>
      <c r="U228" s="209"/>
      <c r="V228" s="209"/>
      <c r="W228" s="209"/>
    </row>
    <row r="229" spans="1:23" ht="11.25" customHeight="1" x14ac:dyDescent="0.25">
      <c r="A229" s="1165" t="s">
        <v>2384</v>
      </c>
      <c r="B229" s="1041"/>
      <c r="C229" s="1629">
        <v>38000</v>
      </c>
      <c r="D229" s="1608">
        <v>92150</v>
      </c>
      <c r="E229" s="1608">
        <v>35500</v>
      </c>
      <c r="F229" s="1608">
        <v>100000</v>
      </c>
      <c r="G229" s="1048">
        <f>F229+14600</f>
        <v>114600</v>
      </c>
      <c r="H229" s="1048">
        <f t="shared" si="36"/>
        <v>114600</v>
      </c>
      <c r="I229" s="1621">
        <v>110400</v>
      </c>
      <c r="J229" s="1606">
        <v>116913.59999999999</v>
      </c>
      <c r="K229" s="1606">
        <v>123460.7616</v>
      </c>
      <c r="L229" s="208"/>
      <c r="M229" s="209"/>
      <c r="N229" s="209"/>
      <c r="O229" s="209"/>
      <c r="P229" s="209"/>
      <c r="Q229" s="209"/>
      <c r="R229" s="209"/>
      <c r="S229" s="209"/>
      <c r="T229" s="209"/>
      <c r="U229" s="209"/>
      <c r="V229" s="209"/>
      <c r="W229" s="209"/>
    </row>
    <row r="230" spans="1:23" ht="11.25" customHeight="1" x14ac:dyDescent="0.25">
      <c r="A230" s="1165" t="s">
        <v>2387</v>
      </c>
      <c r="B230" s="1041"/>
      <c r="C230" s="1629">
        <v>5000</v>
      </c>
      <c r="D230" s="1608"/>
      <c r="E230" s="1608">
        <v>4000</v>
      </c>
      <c r="F230" s="1608">
        <v>10000</v>
      </c>
      <c r="G230" s="1048">
        <f>F230+-10000</f>
        <v>0</v>
      </c>
      <c r="H230" s="1048">
        <f>G230</f>
        <v>0</v>
      </c>
      <c r="I230" s="1621">
        <v>8000</v>
      </c>
      <c r="J230" s="1606">
        <f t="shared" si="37"/>
        <v>8472</v>
      </c>
      <c r="K230" s="1606">
        <f t="shared" si="38"/>
        <v>8946.4320000000007</v>
      </c>
      <c r="L230" s="208"/>
      <c r="M230" s="209"/>
      <c r="N230" s="209"/>
      <c r="O230" s="209"/>
      <c r="P230" s="209"/>
      <c r="Q230" s="209"/>
      <c r="R230" s="209"/>
      <c r="S230" s="209"/>
      <c r="T230" s="209"/>
      <c r="U230" s="209"/>
      <c r="V230" s="209"/>
      <c r="W230" s="209"/>
    </row>
    <row r="231" spans="1:23" ht="11.25" customHeight="1" x14ac:dyDescent="0.25">
      <c r="A231" s="1165" t="s">
        <v>2388</v>
      </c>
      <c r="B231" s="1041"/>
      <c r="C231" s="1629">
        <v>3000</v>
      </c>
      <c r="D231" s="1608"/>
      <c r="E231" s="1608">
        <v>0</v>
      </c>
      <c r="F231" s="1608">
        <v>25000</v>
      </c>
      <c r="G231" s="1048">
        <f>F231+-25000</f>
        <v>0</v>
      </c>
      <c r="H231" s="1048">
        <f>G231</f>
        <v>0</v>
      </c>
      <c r="I231" s="1608">
        <v>0</v>
      </c>
      <c r="J231" s="1606">
        <f t="shared" si="37"/>
        <v>0</v>
      </c>
      <c r="K231" s="1606">
        <f t="shared" si="38"/>
        <v>0</v>
      </c>
      <c r="L231" s="208"/>
      <c r="M231" s="209"/>
      <c r="N231" s="209"/>
      <c r="O231" s="209"/>
      <c r="P231" s="209"/>
      <c r="Q231" s="209"/>
      <c r="R231" s="209"/>
      <c r="S231" s="209"/>
      <c r="T231" s="209"/>
      <c r="U231" s="209"/>
      <c r="V231" s="209"/>
      <c r="W231" s="209"/>
    </row>
    <row r="232" spans="1:23" ht="11.25" customHeight="1" x14ac:dyDescent="0.25">
      <c r="A232" s="1165" t="s">
        <v>2390</v>
      </c>
      <c r="B232" s="1041"/>
      <c r="C232" s="1629">
        <v>21000</v>
      </c>
      <c r="D232" s="1608">
        <v>24573.79</v>
      </c>
      <c r="E232" s="1608">
        <v>0</v>
      </c>
      <c r="F232" s="1608">
        <v>0</v>
      </c>
      <c r="G232" s="1048"/>
      <c r="H232" s="1048">
        <f>G232</f>
        <v>0</v>
      </c>
      <c r="I232" s="1608">
        <v>0</v>
      </c>
      <c r="J232" s="1606">
        <f t="shared" si="37"/>
        <v>0</v>
      </c>
      <c r="K232" s="1606">
        <f t="shared" si="38"/>
        <v>0</v>
      </c>
      <c r="L232" s="208"/>
      <c r="M232" s="209"/>
      <c r="N232" s="209"/>
      <c r="O232" s="209"/>
      <c r="P232" s="209"/>
      <c r="Q232" s="209"/>
      <c r="R232" s="209"/>
      <c r="S232" s="209"/>
      <c r="T232" s="209"/>
      <c r="U232" s="209"/>
      <c r="V232" s="209"/>
      <c r="W232" s="209"/>
    </row>
    <row r="233" spans="1:23" ht="11.25" customHeight="1" x14ac:dyDescent="0.25">
      <c r="A233" s="1165" t="s">
        <v>2391</v>
      </c>
      <c r="B233" s="1041"/>
      <c r="C233" s="1629">
        <v>31000</v>
      </c>
      <c r="D233" s="1608">
        <v>56566.46</v>
      </c>
      <c r="E233" s="1608">
        <v>69871.92</v>
      </c>
      <c r="F233" s="1608">
        <v>0</v>
      </c>
      <c r="G233" s="1048">
        <v>29211.53</v>
      </c>
      <c r="H233" s="1048">
        <f>G233</f>
        <v>29211.53</v>
      </c>
      <c r="I233" s="1608">
        <v>0</v>
      </c>
      <c r="J233" s="1606">
        <f t="shared" si="37"/>
        <v>0</v>
      </c>
      <c r="K233" s="1606">
        <f t="shared" si="38"/>
        <v>0</v>
      </c>
      <c r="L233" s="208"/>
      <c r="M233" s="209"/>
      <c r="N233" s="209"/>
      <c r="O233" s="209"/>
      <c r="P233" s="209"/>
      <c r="Q233" s="209"/>
      <c r="R233" s="209"/>
      <c r="S233" s="209"/>
      <c r="T233" s="209"/>
      <c r="U233" s="209"/>
      <c r="V233" s="209"/>
      <c r="W233" s="209"/>
    </row>
    <row r="234" spans="1:23" ht="11.25" customHeight="1" x14ac:dyDescent="0.25">
      <c r="A234" s="1165" t="s">
        <v>2436</v>
      </c>
      <c r="B234" s="1041"/>
      <c r="C234" s="1629">
        <v>0</v>
      </c>
      <c r="D234" s="1608">
        <v>0</v>
      </c>
      <c r="E234" s="1608">
        <v>0</v>
      </c>
      <c r="F234" s="1608">
        <v>51000</v>
      </c>
      <c r="G234" s="1048">
        <f>F234</f>
        <v>51000</v>
      </c>
      <c r="H234" s="1048">
        <f t="shared" si="36"/>
        <v>51000</v>
      </c>
      <c r="I234" s="1621">
        <v>60379</v>
      </c>
      <c r="J234" s="1606">
        <v>63941.360999999997</v>
      </c>
      <c r="K234" s="1606">
        <v>67522.077216000005</v>
      </c>
      <c r="L234" s="208"/>
      <c r="M234" s="209"/>
      <c r="N234" s="209"/>
      <c r="O234" s="209"/>
      <c r="P234" s="209"/>
      <c r="Q234" s="209"/>
      <c r="R234" s="209"/>
      <c r="S234" s="209"/>
      <c r="T234" s="209"/>
      <c r="U234" s="209"/>
      <c r="V234" s="209"/>
      <c r="W234" s="209"/>
    </row>
    <row r="235" spans="1:23" ht="11.25" customHeight="1" x14ac:dyDescent="0.25">
      <c r="A235" s="1165" t="s">
        <v>2393</v>
      </c>
      <c r="B235" s="1041"/>
      <c r="C235" s="1629">
        <v>0</v>
      </c>
      <c r="D235" s="1608">
        <v>0</v>
      </c>
      <c r="E235" s="1608">
        <v>0</v>
      </c>
      <c r="F235" s="1608">
        <v>0</v>
      </c>
      <c r="G235" s="1048">
        <v>0</v>
      </c>
      <c r="H235" s="1048">
        <f t="shared" si="36"/>
        <v>0</v>
      </c>
      <c r="I235" s="1608">
        <v>0</v>
      </c>
      <c r="J235" s="1606">
        <f t="shared" si="37"/>
        <v>0</v>
      </c>
      <c r="K235" s="1606">
        <f t="shared" si="38"/>
        <v>0</v>
      </c>
      <c r="L235" s="208"/>
      <c r="M235" s="209"/>
      <c r="N235" s="209"/>
      <c r="O235" s="209"/>
      <c r="P235" s="209"/>
      <c r="Q235" s="209"/>
      <c r="R235" s="209"/>
      <c r="S235" s="209"/>
      <c r="T235" s="209"/>
      <c r="U235" s="209"/>
      <c r="V235" s="209"/>
      <c r="W235" s="209"/>
    </row>
    <row r="236" spans="1:23" ht="11.25" customHeight="1" x14ac:dyDescent="0.25">
      <c r="A236" s="1165" t="s">
        <v>2394</v>
      </c>
      <c r="B236" s="1041"/>
      <c r="C236" s="1629">
        <v>0</v>
      </c>
      <c r="D236" s="1608">
        <v>0</v>
      </c>
      <c r="E236" s="1608">
        <v>0</v>
      </c>
      <c r="F236" s="1608">
        <v>0</v>
      </c>
      <c r="G236" s="1048">
        <v>0</v>
      </c>
      <c r="H236" s="1048">
        <f t="shared" si="36"/>
        <v>0</v>
      </c>
      <c r="I236" s="1608">
        <v>0</v>
      </c>
      <c r="J236" s="1606">
        <f t="shared" si="37"/>
        <v>0</v>
      </c>
      <c r="K236" s="1606">
        <f t="shared" si="38"/>
        <v>0</v>
      </c>
      <c r="L236" s="208"/>
      <c r="M236" s="209"/>
      <c r="N236" s="209"/>
      <c r="O236" s="209"/>
      <c r="P236" s="209"/>
      <c r="Q236" s="209"/>
      <c r="R236" s="209"/>
      <c r="S236" s="209"/>
      <c r="T236" s="209"/>
      <c r="U236" s="209"/>
      <c r="V236" s="209"/>
      <c r="W236" s="209"/>
    </row>
    <row r="237" spans="1:23" ht="11.25" customHeight="1" x14ac:dyDescent="0.25">
      <c r="A237" s="1165" t="s">
        <v>2395</v>
      </c>
      <c r="B237" s="1041"/>
      <c r="C237" s="1629">
        <v>56000000</v>
      </c>
      <c r="D237" s="1608"/>
      <c r="E237" s="1608">
        <v>0</v>
      </c>
      <c r="F237" s="1608">
        <v>0</v>
      </c>
      <c r="G237" s="1048">
        <v>0</v>
      </c>
      <c r="H237" s="1048">
        <f t="shared" si="36"/>
        <v>0</v>
      </c>
      <c r="I237" s="1608">
        <v>0</v>
      </c>
      <c r="J237" s="1606">
        <f t="shared" si="37"/>
        <v>0</v>
      </c>
      <c r="K237" s="1606">
        <f t="shared" si="38"/>
        <v>0</v>
      </c>
      <c r="L237" s="208"/>
      <c r="M237" s="209"/>
      <c r="N237" s="209"/>
      <c r="O237" s="209"/>
      <c r="P237" s="209"/>
      <c r="Q237" s="209"/>
      <c r="R237" s="209"/>
      <c r="S237" s="209"/>
      <c r="T237" s="209"/>
      <c r="U237" s="209"/>
      <c r="V237" s="209"/>
      <c r="W237" s="209"/>
    </row>
    <row r="238" spans="1:23" ht="11.25" customHeight="1" x14ac:dyDescent="0.25">
      <c r="A238" s="1165" t="s">
        <v>2400</v>
      </c>
      <c r="B238" s="1041"/>
      <c r="C238" s="1629">
        <v>0</v>
      </c>
      <c r="D238" s="1608">
        <v>18457.86</v>
      </c>
      <c r="E238" s="1608">
        <v>5762.63</v>
      </c>
      <c r="F238" s="1608">
        <v>0</v>
      </c>
      <c r="G238" s="1048">
        <v>0</v>
      </c>
      <c r="H238" s="1048">
        <f t="shared" si="36"/>
        <v>0</v>
      </c>
      <c r="I238" s="1608">
        <v>0</v>
      </c>
      <c r="J238" s="1606">
        <f t="shared" si="37"/>
        <v>0</v>
      </c>
      <c r="K238" s="1606">
        <f t="shared" si="38"/>
        <v>0</v>
      </c>
      <c r="L238" s="208"/>
      <c r="M238" s="209"/>
      <c r="N238" s="209"/>
      <c r="O238" s="209"/>
      <c r="P238" s="209"/>
      <c r="Q238" s="209"/>
      <c r="R238" s="209"/>
      <c r="S238" s="209"/>
      <c r="T238" s="209"/>
      <c r="U238" s="209"/>
      <c r="V238" s="209"/>
      <c r="W238" s="209"/>
    </row>
    <row r="239" spans="1:23" ht="11.25" customHeight="1" x14ac:dyDescent="0.25">
      <c r="A239" s="1165" t="s">
        <v>2407</v>
      </c>
      <c r="B239" s="1041"/>
      <c r="C239" s="1629">
        <v>0</v>
      </c>
      <c r="D239" s="1608"/>
      <c r="E239" s="1608">
        <v>0</v>
      </c>
      <c r="F239" s="1608">
        <v>0</v>
      </c>
      <c r="G239" s="1048">
        <v>0</v>
      </c>
      <c r="H239" s="1048">
        <f t="shared" si="36"/>
        <v>0</v>
      </c>
      <c r="I239" s="1608">
        <v>0</v>
      </c>
      <c r="J239" s="1606">
        <f t="shared" si="37"/>
        <v>0</v>
      </c>
      <c r="K239" s="1606">
        <f t="shared" si="38"/>
        <v>0</v>
      </c>
      <c r="L239" s="208"/>
      <c r="M239" s="209"/>
      <c r="N239" s="209"/>
      <c r="O239" s="209"/>
      <c r="P239" s="209"/>
      <c r="Q239" s="209"/>
      <c r="R239" s="209"/>
      <c r="S239" s="209"/>
      <c r="T239" s="209"/>
      <c r="U239" s="209"/>
      <c r="V239" s="209"/>
      <c r="W239" s="209"/>
    </row>
    <row r="240" spans="1:23" ht="11.25" customHeight="1" x14ac:dyDescent="0.25">
      <c r="A240" s="1165" t="s">
        <v>2412</v>
      </c>
      <c r="B240" s="1041"/>
      <c r="C240" s="1629">
        <v>0</v>
      </c>
      <c r="D240" s="1608">
        <v>148564.12</v>
      </c>
      <c r="E240" s="1608">
        <v>154218.38</v>
      </c>
      <c r="F240" s="1608">
        <v>50000</v>
      </c>
      <c r="G240" s="1048">
        <f>F240+50000</f>
        <v>100000</v>
      </c>
      <c r="H240" s="1048">
        <f t="shared" si="36"/>
        <v>100000</v>
      </c>
      <c r="I240" s="1621">
        <v>50000</v>
      </c>
      <c r="J240" s="1606">
        <f t="shared" si="37"/>
        <v>52950</v>
      </c>
      <c r="K240" s="1606">
        <f t="shared" si="38"/>
        <v>55915.200000000004</v>
      </c>
      <c r="L240" s="208"/>
      <c r="M240" s="209"/>
      <c r="N240" s="209"/>
      <c r="O240" s="209"/>
      <c r="P240" s="209"/>
      <c r="Q240" s="209"/>
      <c r="R240" s="209"/>
      <c r="S240" s="209"/>
      <c r="T240" s="209"/>
      <c r="U240" s="209"/>
      <c r="V240" s="209"/>
      <c r="W240" s="209"/>
    </row>
    <row r="241" spans="1:23" ht="11.25" customHeight="1" x14ac:dyDescent="0.25">
      <c r="A241" s="1165" t="s">
        <v>2437</v>
      </c>
      <c r="B241" s="1041"/>
      <c r="C241" s="1629">
        <v>32000</v>
      </c>
      <c r="D241" s="1608">
        <v>257377.75</v>
      </c>
      <c r="E241" s="1608">
        <v>353283.38</v>
      </c>
      <c r="F241" s="1608">
        <v>70000</v>
      </c>
      <c r="G241" s="1048">
        <f>F241+-36464</f>
        <v>33536</v>
      </c>
      <c r="H241" s="1048">
        <f t="shared" si="36"/>
        <v>33536</v>
      </c>
      <c r="I241" s="1621">
        <v>50000</v>
      </c>
      <c r="J241" s="1606">
        <f t="shared" si="37"/>
        <v>52950</v>
      </c>
      <c r="K241" s="1606">
        <f t="shared" si="38"/>
        <v>55915.200000000004</v>
      </c>
      <c r="L241" s="208"/>
      <c r="M241" s="209"/>
      <c r="N241" s="209"/>
      <c r="O241" s="209"/>
      <c r="P241" s="209"/>
      <c r="Q241" s="209"/>
      <c r="R241" s="209"/>
      <c r="S241" s="209"/>
      <c r="T241" s="209"/>
      <c r="U241" s="209"/>
      <c r="V241" s="209"/>
      <c r="W241" s="209"/>
    </row>
    <row r="242" spans="1:23" ht="11.25" customHeight="1" x14ac:dyDescent="0.25">
      <c r="A242" s="1165" t="s">
        <v>2439</v>
      </c>
      <c r="B242" s="1041"/>
      <c r="C242" s="1629">
        <v>160000</v>
      </c>
      <c r="D242" s="1608"/>
      <c r="E242" s="1608">
        <v>0</v>
      </c>
      <c r="F242" s="1608">
        <v>0</v>
      </c>
      <c r="G242" s="1048">
        <v>0</v>
      </c>
      <c r="H242" s="1048">
        <f t="shared" si="36"/>
        <v>0</v>
      </c>
      <c r="I242" s="1608">
        <v>0</v>
      </c>
      <c r="J242" s="1606">
        <f t="shared" si="37"/>
        <v>0</v>
      </c>
      <c r="K242" s="1606">
        <f t="shared" si="38"/>
        <v>0</v>
      </c>
      <c r="L242" s="208"/>
      <c r="M242" s="209"/>
      <c r="N242" s="209"/>
      <c r="O242" s="209"/>
      <c r="P242" s="209"/>
      <c r="Q242" s="209"/>
      <c r="R242" s="209"/>
      <c r="S242" s="209"/>
      <c r="T242" s="209"/>
      <c r="U242" s="209"/>
      <c r="V242" s="209"/>
      <c r="W242" s="209"/>
    </row>
    <row r="243" spans="1:23" ht="11.25" customHeight="1" x14ac:dyDescent="0.25">
      <c r="A243" s="1165" t="s">
        <v>2440</v>
      </c>
      <c r="B243" s="1041"/>
      <c r="C243" s="1629">
        <v>300000</v>
      </c>
      <c r="D243" s="1608">
        <v>142579.04999999999</v>
      </c>
      <c r="E243" s="1608">
        <v>0</v>
      </c>
      <c r="F243" s="1608">
        <v>150000</v>
      </c>
      <c r="G243" s="1048">
        <f>F243+-150000</f>
        <v>0</v>
      </c>
      <c r="H243" s="1048">
        <f t="shared" si="36"/>
        <v>0</v>
      </c>
      <c r="I243" s="1608">
        <v>0</v>
      </c>
      <c r="J243" s="1606">
        <f t="shared" si="37"/>
        <v>0</v>
      </c>
      <c r="K243" s="1606">
        <f t="shared" si="38"/>
        <v>0</v>
      </c>
      <c r="L243" s="208"/>
      <c r="M243" s="209"/>
      <c r="N243" s="209"/>
      <c r="O243" s="209"/>
      <c r="P243" s="209"/>
      <c r="Q243" s="209"/>
      <c r="R243" s="209"/>
      <c r="S243" s="209"/>
      <c r="T243" s="209"/>
      <c r="U243" s="209"/>
      <c r="V243" s="209"/>
      <c r="W243" s="209"/>
    </row>
    <row r="244" spans="1:23" ht="11.25" customHeight="1" x14ac:dyDescent="0.25">
      <c r="A244" s="1165" t="s">
        <v>2441</v>
      </c>
      <c r="B244" s="1041"/>
      <c r="C244" s="1629">
        <v>0</v>
      </c>
      <c r="D244" s="1608">
        <v>10134.209999999999</v>
      </c>
      <c r="E244" s="1608">
        <v>7850</v>
      </c>
      <c r="F244" s="1608">
        <v>0</v>
      </c>
      <c r="G244" s="1048">
        <v>0</v>
      </c>
      <c r="H244" s="1048">
        <f t="shared" si="36"/>
        <v>0</v>
      </c>
      <c r="I244" s="1608">
        <v>100000</v>
      </c>
      <c r="J244" s="1606">
        <f t="shared" si="37"/>
        <v>105900</v>
      </c>
      <c r="K244" s="1606">
        <f t="shared" si="38"/>
        <v>111830.40000000001</v>
      </c>
      <c r="L244" s="208"/>
      <c r="M244" s="209"/>
      <c r="N244" s="209"/>
      <c r="O244" s="209"/>
      <c r="P244" s="209"/>
      <c r="Q244" s="209"/>
      <c r="R244" s="209"/>
      <c r="S244" s="209"/>
      <c r="T244" s="209"/>
      <c r="U244" s="209"/>
      <c r="V244" s="209"/>
      <c r="W244" s="209"/>
    </row>
    <row r="245" spans="1:23" ht="11.25" customHeight="1" x14ac:dyDescent="0.25">
      <c r="A245" s="1165" t="s">
        <v>2442</v>
      </c>
      <c r="B245" s="1041"/>
      <c r="C245" s="1606">
        <v>49999733</v>
      </c>
      <c r="D245" s="1628">
        <v>4344567.05</v>
      </c>
      <c r="E245" s="1629">
        <v>0</v>
      </c>
      <c r="F245" s="1608">
        <v>5392934</v>
      </c>
      <c r="G245" s="1048">
        <f>F245</f>
        <v>5392934</v>
      </c>
      <c r="H245" s="1048">
        <f t="shared" si="36"/>
        <v>5392934</v>
      </c>
      <c r="I245" s="1608">
        <v>5630223</v>
      </c>
      <c r="J245" s="1606">
        <f t="shared" si="37"/>
        <v>5962406.1569999997</v>
      </c>
      <c r="K245" s="1606">
        <f t="shared" si="38"/>
        <v>6296300.901792</v>
      </c>
      <c r="L245" s="208"/>
      <c r="M245" s="209"/>
      <c r="N245" s="209"/>
      <c r="O245" s="209"/>
      <c r="P245" s="209"/>
      <c r="Q245" s="209"/>
      <c r="R245" s="209"/>
      <c r="S245" s="209"/>
      <c r="T245" s="209"/>
      <c r="U245" s="209"/>
      <c r="V245" s="209"/>
      <c r="W245" s="209"/>
    </row>
    <row r="246" spans="1:23" ht="11.25" customHeight="1" x14ac:dyDescent="0.25">
      <c r="A246" s="1165" t="s">
        <v>2443</v>
      </c>
      <c r="B246" s="1041"/>
      <c r="C246" s="1606">
        <v>0</v>
      </c>
      <c r="D246" s="1628">
        <v>0</v>
      </c>
      <c r="E246" s="1629">
        <v>0</v>
      </c>
      <c r="F246" s="1608">
        <v>3337000</v>
      </c>
      <c r="G246" s="1048">
        <f>F246</f>
        <v>3337000</v>
      </c>
      <c r="H246" s="1048">
        <f t="shared" si="36"/>
        <v>3337000</v>
      </c>
      <c r="I246" s="1608">
        <v>3483828</v>
      </c>
      <c r="J246" s="1606">
        <f t="shared" si="37"/>
        <v>3689373.852</v>
      </c>
      <c r="K246" s="1606">
        <f t="shared" si="38"/>
        <v>3895978.7877120003</v>
      </c>
      <c r="L246" s="208"/>
      <c r="M246" s="209"/>
      <c r="N246" s="209"/>
      <c r="O246" s="209"/>
      <c r="P246" s="209"/>
      <c r="Q246" s="209"/>
      <c r="R246" s="209"/>
      <c r="S246" s="209"/>
      <c r="T246" s="209"/>
      <c r="U246" s="209"/>
      <c r="V246" s="209"/>
      <c r="W246" s="209"/>
    </row>
    <row r="247" spans="1:23" ht="11.25" customHeight="1" x14ac:dyDescent="0.25">
      <c r="A247" s="1165" t="s">
        <v>2611</v>
      </c>
      <c r="B247" s="1041"/>
      <c r="C247" s="1606">
        <v>0</v>
      </c>
      <c r="D247" s="1628">
        <v>0</v>
      </c>
      <c r="E247" s="1629">
        <v>990000</v>
      </c>
      <c r="F247" s="1629"/>
      <c r="G247" s="1048"/>
      <c r="H247" s="1051"/>
      <c r="I247" s="1608"/>
      <c r="J247" s="1606"/>
      <c r="K247" s="2677"/>
      <c r="L247" s="208"/>
      <c r="M247" s="209"/>
      <c r="N247" s="209"/>
      <c r="O247" s="209"/>
      <c r="P247" s="209"/>
      <c r="Q247" s="209"/>
      <c r="R247" s="209"/>
      <c r="S247" s="209"/>
      <c r="T247" s="209"/>
      <c r="U247" s="209"/>
      <c r="V247" s="209"/>
      <c r="W247" s="209"/>
    </row>
    <row r="248" spans="1:23" ht="11.25" customHeight="1" x14ac:dyDescent="0.25">
      <c r="A248" s="1165"/>
      <c r="B248" s="1041"/>
      <c r="C248" s="1606"/>
      <c r="D248" s="1628"/>
      <c r="E248" s="1629"/>
      <c r="F248" s="1629"/>
      <c r="G248" s="1606"/>
      <c r="H248" s="1630"/>
      <c r="I248" s="1608"/>
      <c r="J248" s="1606"/>
      <c r="K248" s="2677"/>
      <c r="L248" s="208"/>
      <c r="M248" s="209"/>
      <c r="N248" s="209"/>
      <c r="O248" s="209"/>
      <c r="P248" s="209"/>
      <c r="Q248" s="209"/>
      <c r="R248" s="209"/>
      <c r="S248" s="209"/>
      <c r="T248" s="209"/>
      <c r="U248" s="209"/>
      <c r="V248" s="209"/>
      <c r="W248" s="209"/>
    </row>
    <row r="249" spans="1:23" ht="11.25" customHeight="1" x14ac:dyDescent="0.25">
      <c r="A249" s="1165">
        <f>A24</f>
        <v>0</v>
      </c>
      <c r="B249" s="1041"/>
      <c r="C249" s="1606"/>
      <c r="D249" s="1606"/>
      <c r="E249" s="1628"/>
      <c r="F249" s="1629"/>
      <c r="G249" s="1606"/>
      <c r="H249" s="1630"/>
      <c r="I249" s="1608"/>
      <c r="J249" s="1606"/>
      <c r="K249" s="2677"/>
      <c r="L249" s="208"/>
      <c r="M249" s="209"/>
      <c r="N249" s="209"/>
      <c r="O249" s="209"/>
      <c r="P249" s="209"/>
      <c r="Q249" s="209"/>
      <c r="R249" s="209"/>
      <c r="S249" s="209"/>
      <c r="T249" s="209"/>
      <c r="U249" s="209"/>
      <c r="V249" s="209"/>
      <c r="W249" s="209"/>
    </row>
    <row r="250" spans="1:23" ht="11.25" customHeight="1" x14ac:dyDescent="0.25">
      <c r="A250" s="1165">
        <f>A25</f>
        <v>0</v>
      </c>
      <c r="B250" s="1041"/>
      <c r="C250" s="1606"/>
      <c r="D250" s="1606"/>
      <c r="E250" s="1628"/>
      <c r="F250" s="1629"/>
      <c r="G250" s="1606"/>
      <c r="H250" s="1630"/>
      <c r="I250" s="1608"/>
      <c r="J250" s="1606"/>
      <c r="K250" s="2677"/>
      <c r="L250" s="208"/>
      <c r="M250" s="209"/>
      <c r="N250" s="209"/>
      <c r="O250" s="209"/>
      <c r="P250" s="209"/>
      <c r="Q250" s="209"/>
      <c r="R250" s="209"/>
      <c r="S250" s="209"/>
      <c r="T250" s="209"/>
      <c r="U250" s="209"/>
      <c r="V250" s="209"/>
      <c r="W250" s="209"/>
    </row>
    <row r="251" spans="1:23" ht="11.25" customHeight="1" x14ac:dyDescent="0.25">
      <c r="A251" s="1165">
        <f>A26</f>
        <v>0</v>
      </c>
      <c r="B251" s="1041"/>
      <c r="C251" s="1606"/>
      <c r="D251" s="1606"/>
      <c r="E251" s="1628"/>
      <c r="F251" s="1629"/>
      <c r="G251" s="1606"/>
      <c r="H251" s="1630"/>
      <c r="I251" s="1608"/>
      <c r="J251" s="1606"/>
      <c r="K251" s="2677"/>
      <c r="L251" s="208"/>
      <c r="M251" s="209"/>
      <c r="N251" s="209"/>
      <c r="O251" s="209"/>
      <c r="P251" s="209"/>
      <c r="Q251" s="209"/>
      <c r="R251" s="209"/>
      <c r="S251" s="209"/>
      <c r="T251" s="209"/>
      <c r="U251" s="209"/>
      <c r="V251" s="209"/>
      <c r="W251" s="209"/>
    </row>
    <row r="252" spans="1:23" ht="15" customHeight="1" x14ac:dyDescent="0.25">
      <c r="A252" s="1164" t="str">
        <f>A27</f>
        <v>Vote 3 - 103 PLANNING and DEVELOPMENT</v>
      </c>
      <c r="B252" s="1053"/>
      <c r="C252" s="971">
        <f t="shared" ref="C252:K252" si="39">SUM(C253:C286)</f>
        <v>0</v>
      </c>
      <c r="D252" s="971">
        <f t="shared" si="39"/>
        <v>0</v>
      </c>
      <c r="E252" s="972">
        <f t="shared" si="39"/>
        <v>4658562.9400000004</v>
      </c>
      <c r="F252" s="973">
        <f t="shared" si="39"/>
        <v>2363875</v>
      </c>
      <c r="G252" s="971">
        <f t="shared" si="39"/>
        <v>2248988.94</v>
      </c>
      <c r="H252" s="974">
        <f t="shared" si="39"/>
        <v>2248988.94</v>
      </c>
      <c r="I252" s="975">
        <f t="shared" si="39"/>
        <v>2382116</v>
      </c>
      <c r="J252" s="971">
        <f t="shared" si="39"/>
        <v>2522660.8439999996</v>
      </c>
      <c r="K252" s="971">
        <f t="shared" si="39"/>
        <v>2663929.8512639999</v>
      </c>
      <c r="L252" s="208"/>
      <c r="M252" s="209"/>
      <c r="N252" s="209"/>
      <c r="O252" s="209"/>
      <c r="P252" s="209"/>
      <c r="Q252" s="209"/>
      <c r="R252" s="209"/>
      <c r="S252" s="209"/>
      <c r="T252" s="209"/>
      <c r="U252" s="209"/>
      <c r="V252" s="209"/>
      <c r="W252" s="209"/>
    </row>
    <row r="253" spans="1:23" ht="11.25" customHeight="1" x14ac:dyDescent="0.25">
      <c r="A253" s="1165" t="s">
        <v>2375</v>
      </c>
      <c r="B253" s="1041"/>
      <c r="C253" s="1629">
        <v>0</v>
      </c>
      <c r="D253" s="1608">
        <v>0</v>
      </c>
      <c r="E253" s="1608">
        <v>1295441.22</v>
      </c>
      <c r="F253" s="1608">
        <v>1793351</v>
      </c>
      <c r="G253" s="1048">
        <f>F253+-199922</f>
        <v>1593429</v>
      </c>
      <c r="H253" s="1048">
        <f>G253</f>
        <v>1593429</v>
      </c>
      <c r="I253" s="1606">
        <v>1613035</v>
      </c>
      <c r="J253" s="1606">
        <v>1708204.0649999999</v>
      </c>
      <c r="K253" s="1606">
        <v>1803863.4926400001</v>
      </c>
      <c r="L253" s="208"/>
      <c r="M253" s="209"/>
      <c r="N253" s="209"/>
      <c r="O253" s="209"/>
      <c r="P253" s="209"/>
      <c r="Q253" s="209"/>
      <c r="R253" s="209"/>
      <c r="S253" s="209"/>
      <c r="T253" s="209"/>
      <c r="U253" s="209"/>
      <c r="V253" s="209"/>
      <c r="W253" s="209"/>
    </row>
    <row r="254" spans="1:23" ht="11.25" customHeight="1" x14ac:dyDescent="0.25">
      <c r="A254" s="1165" t="s">
        <v>2432</v>
      </c>
      <c r="B254" s="1041"/>
      <c r="C254" s="1629">
        <v>0</v>
      </c>
      <c r="D254" s="1608">
        <v>0</v>
      </c>
      <c r="E254" s="1608">
        <v>85390.36</v>
      </c>
      <c r="F254" s="1608">
        <v>149520</v>
      </c>
      <c r="G254" s="1048">
        <f>F254+-22361</f>
        <v>127159</v>
      </c>
      <c r="H254" s="1048">
        <f t="shared" ref="H254:H283" si="40">G254</f>
        <v>127159</v>
      </c>
      <c r="I254" s="1606">
        <v>134420</v>
      </c>
      <c r="J254" s="1606">
        <v>142350.78</v>
      </c>
      <c r="K254" s="1606">
        <v>150322.42368000001</v>
      </c>
      <c r="L254" s="208"/>
      <c r="M254" s="209"/>
      <c r="N254" s="209"/>
      <c r="O254" s="209"/>
      <c r="P254" s="209"/>
      <c r="Q254" s="209"/>
      <c r="R254" s="209"/>
      <c r="S254" s="209"/>
      <c r="T254" s="209"/>
      <c r="U254" s="209"/>
      <c r="V254" s="209"/>
      <c r="W254" s="209"/>
    </row>
    <row r="255" spans="1:23" ht="11.25" customHeight="1" x14ac:dyDescent="0.25">
      <c r="A255" s="1165" t="s">
        <v>2444</v>
      </c>
      <c r="B255" s="1041"/>
      <c r="C255" s="1629">
        <v>0</v>
      </c>
      <c r="D255" s="1608">
        <v>0</v>
      </c>
      <c r="E255" s="1608">
        <v>0</v>
      </c>
      <c r="F255" s="1608">
        <v>0</v>
      </c>
      <c r="G255" s="1048">
        <v>405</v>
      </c>
      <c r="H255" s="1048">
        <f t="shared" si="40"/>
        <v>405</v>
      </c>
      <c r="I255" s="1606">
        <v>435</v>
      </c>
      <c r="J255" s="1606">
        <v>460.66499999999996</v>
      </c>
      <c r="K255" s="1606">
        <v>486.46224000000001</v>
      </c>
      <c r="L255" s="208"/>
      <c r="M255" s="209"/>
      <c r="N255" s="209"/>
      <c r="O255" s="209"/>
      <c r="P255" s="209"/>
      <c r="Q255" s="209"/>
      <c r="R255" s="209"/>
      <c r="S255" s="209"/>
      <c r="T255" s="209"/>
      <c r="U255" s="209"/>
      <c r="V255" s="209"/>
      <c r="W255" s="209"/>
    </row>
    <row r="256" spans="1:23" ht="11.25" customHeight="1" x14ac:dyDescent="0.25">
      <c r="A256" s="1165" t="s">
        <v>2434</v>
      </c>
      <c r="B256" s="1041"/>
      <c r="C256" s="1629">
        <v>0</v>
      </c>
      <c r="D256" s="1608">
        <v>0</v>
      </c>
      <c r="E256" s="1608">
        <v>0</v>
      </c>
      <c r="F256" s="1608">
        <v>0</v>
      </c>
      <c r="G256" s="1048">
        <v>0</v>
      </c>
      <c r="H256" s="1048">
        <f t="shared" si="40"/>
        <v>0</v>
      </c>
      <c r="I256" s="1608">
        <v>0</v>
      </c>
      <c r="J256" s="1606">
        <f t="shared" ref="J256:J283" si="41">I256*1.059</f>
        <v>0</v>
      </c>
      <c r="K256" s="1606">
        <f t="shared" ref="K256:K283" si="42">J256*1.056</f>
        <v>0</v>
      </c>
      <c r="L256" s="208"/>
      <c r="M256" s="209"/>
      <c r="N256" s="209"/>
      <c r="O256" s="209"/>
      <c r="P256" s="209"/>
      <c r="Q256" s="209"/>
      <c r="R256" s="209"/>
      <c r="S256" s="209"/>
      <c r="T256" s="209"/>
      <c r="U256" s="209"/>
      <c r="V256" s="209"/>
      <c r="W256" s="209"/>
    </row>
    <row r="257" spans="1:23" ht="11.25" customHeight="1" x14ac:dyDescent="0.25">
      <c r="A257" s="1165" t="s">
        <v>2435</v>
      </c>
      <c r="B257" s="1041"/>
      <c r="C257" s="1629">
        <v>0</v>
      </c>
      <c r="D257" s="1608">
        <v>0</v>
      </c>
      <c r="E257" s="1608">
        <v>23630.32</v>
      </c>
      <c r="F257" s="1608">
        <v>0</v>
      </c>
      <c r="G257" s="1048">
        <v>0</v>
      </c>
      <c r="H257" s="1048">
        <f t="shared" si="40"/>
        <v>0</v>
      </c>
      <c r="I257" s="1606">
        <v>0</v>
      </c>
      <c r="J257" s="1606">
        <f t="shared" si="41"/>
        <v>0</v>
      </c>
      <c r="K257" s="1606">
        <f t="shared" si="42"/>
        <v>0</v>
      </c>
      <c r="L257" s="208"/>
      <c r="M257" s="209"/>
      <c r="N257" s="209"/>
      <c r="O257" s="209"/>
      <c r="P257" s="209"/>
      <c r="Q257" s="209"/>
      <c r="R257" s="209"/>
      <c r="S257" s="209"/>
      <c r="T257" s="209"/>
      <c r="U257" s="209"/>
      <c r="V257" s="209"/>
      <c r="W257" s="209"/>
    </row>
    <row r="258" spans="1:23" ht="11.25" customHeight="1" x14ac:dyDescent="0.25">
      <c r="A258" s="1165" t="s">
        <v>2376</v>
      </c>
      <c r="B258" s="1041"/>
      <c r="C258" s="1629">
        <v>0</v>
      </c>
      <c r="D258" s="1608">
        <v>0</v>
      </c>
      <c r="E258" s="1608">
        <v>217996.89</v>
      </c>
      <c r="F258" s="1608">
        <v>224811</v>
      </c>
      <c r="G258" s="1048">
        <f>F258+20915</f>
        <v>245726</v>
      </c>
      <c r="H258" s="1048">
        <f t="shared" si="40"/>
        <v>245726</v>
      </c>
      <c r="I258" s="1606">
        <v>251869</v>
      </c>
      <c r="J258" s="1606">
        <v>266729.27100000001</v>
      </c>
      <c r="K258" s="1606">
        <v>281666.11017600005</v>
      </c>
      <c r="L258" s="208"/>
      <c r="M258" s="209"/>
      <c r="N258" s="209"/>
      <c r="O258" s="209"/>
      <c r="P258" s="209"/>
      <c r="Q258" s="209"/>
      <c r="R258" s="209"/>
      <c r="S258" s="209"/>
      <c r="T258" s="209"/>
      <c r="U258" s="209"/>
      <c r="V258" s="209"/>
      <c r="W258" s="209"/>
    </row>
    <row r="259" spans="1:23" ht="11.25" customHeight="1" x14ac:dyDescent="0.25">
      <c r="A259" s="1165" t="s">
        <v>2377</v>
      </c>
      <c r="B259" s="1041"/>
      <c r="C259" s="1629">
        <v>0</v>
      </c>
      <c r="D259" s="1608">
        <v>0</v>
      </c>
      <c r="E259" s="1608">
        <v>91986.8</v>
      </c>
      <c r="F259" s="1608">
        <v>92359</v>
      </c>
      <c r="G259" s="1048">
        <f>F259+15519</f>
        <v>107878</v>
      </c>
      <c r="H259" s="1048">
        <f t="shared" si="40"/>
        <v>107878</v>
      </c>
      <c r="I259" s="1606">
        <v>112097</v>
      </c>
      <c r="J259" s="1606">
        <v>118710.723</v>
      </c>
      <c r="K259" s="1606">
        <v>125358.52348800001</v>
      </c>
      <c r="L259" s="208"/>
      <c r="M259" s="209"/>
      <c r="N259" s="209"/>
      <c r="O259" s="209"/>
      <c r="P259" s="209"/>
      <c r="Q259" s="209"/>
      <c r="R259" s="209"/>
      <c r="S259" s="209"/>
      <c r="T259" s="209"/>
      <c r="U259" s="209"/>
      <c r="V259" s="209"/>
      <c r="W259" s="209"/>
    </row>
    <row r="260" spans="1:23" ht="11.25" customHeight="1" x14ac:dyDescent="0.25">
      <c r="A260" s="1165" t="s">
        <v>2378</v>
      </c>
      <c r="B260" s="1041"/>
      <c r="C260" s="1629">
        <v>0</v>
      </c>
      <c r="D260" s="1608">
        <v>0</v>
      </c>
      <c r="E260" s="1608">
        <v>0</v>
      </c>
      <c r="F260" s="1608">
        <v>0</v>
      </c>
      <c r="G260" s="1048">
        <v>0</v>
      </c>
      <c r="H260" s="1048">
        <f t="shared" si="40"/>
        <v>0</v>
      </c>
      <c r="I260" s="1608">
        <v>0</v>
      </c>
      <c r="J260" s="1606">
        <f t="shared" si="41"/>
        <v>0</v>
      </c>
      <c r="K260" s="1606">
        <f t="shared" si="42"/>
        <v>0</v>
      </c>
      <c r="L260" s="208"/>
      <c r="M260" s="209"/>
      <c r="N260" s="209"/>
      <c r="O260" s="209"/>
      <c r="P260" s="209"/>
      <c r="Q260" s="209"/>
      <c r="R260" s="209"/>
      <c r="S260" s="209"/>
      <c r="T260" s="209"/>
      <c r="U260" s="209"/>
      <c r="V260" s="209"/>
      <c r="W260" s="209"/>
    </row>
    <row r="261" spans="1:23" ht="11.25" customHeight="1" x14ac:dyDescent="0.25">
      <c r="A261" s="1165" t="s">
        <v>2379</v>
      </c>
      <c r="B261" s="1041"/>
      <c r="C261" s="1629">
        <v>0</v>
      </c>
      <c r="D261" s="1608">
        <v>0</v>
      </c>
      <c r="E261" s="1608">
        <v>0</v>
      </c>
      <c r="F261" s="1608">
        <v>4000</v>
      </c>
      <c r="G261" s="1048">
        <f>F261</f>
        <v>4000</v>
      </c>
      <c r="H261" s="1048">
        <f t="shared" si="40"/>
        <v>4000</v>
      </c>
      <c r="I261" s="1606">
        <v>0</v>
      </c>
      <c r="J261" s="1606">
        <f t="shared" si="41"/>
        <v>0</v>
      </c>
      <c r="K261" s="1606">
        <f t="shared" si="42"/>
        <v>0</v>
      </c>
      <c r="L261" s="208"/>
      <c r="M261" s="209"/>
      <c r="N261" s="209"/>
      <c r="O261" s="209"/>
      <c r="P261" s="209"/>
      <c r="Q261" s="209"/>
      <c r="R261" s="209"/>
      <c r="S261" s="209"/>
      <c r="T261" s="209"/>
      <c r="U261" s="209"/>
      <c r="V261" s="209"/>
      <c r="W261" s="209"/>
    </row>
    <row r="262" spans="1:23" ht="11.25" customHeight="1" x14ac:dyDescent="0.25">
      <c r="A262" s="1165" t="s">
        <v>2380</v>
      </c>
      <c r="B262" s="1041"/>
      <c r="C262" s="1629">
        <v>0</v>
      </c>
      <c r="D262" s="1608">
        <v>0</v>
      </c>
      <c r="E262" s="1608">
        <v>8711.36</v>
      </c>
      <c r="F262" s="1608">
        <v>8270</v>
      </c>
      <c r="G262" s="1048">
        <f>F262+2241</f>
        <v>10511</v>
      </c>
      <c r="H262" s="1048">
        <f t="shared" si="40"/>
        <v>10511</v>
      </c>
      <c r="I262" s="1606">
        <v>16130</v>
      </c>
      <c r="J262" s="1606">
        <v>17081.669999999998</v>
      </c>
      <c r="K262" s="1606">
        <v>18038.24352</v>
      </c>
      <c r="L262" s="208"/>
      <c r="M262" s="209"/>
      <c r="N262" s="209"/>
      <c r="O262" s="209"/>
      <c r="P262" s="209"/>
      <c r="Q262" s="209"/>
      <c r="R262" s="209"/>
      <c r="S262" s="209"/>
      <c r="T262" s="209"/>
      <c r="U262" s="209"/>
      <c r="V262" s="209"/>
      <c r="W262" s="209"/>
    </row>
    <row r="263" spans="1:23" ht="11.25" customHeight="1" x14ac:dyDescent="0.25">
      <c r="A263" s="1165" t="s">
        <v>2445</v>
      </c>
      <c r="B263" s="1041"/>
      <c r="C263" s="1629">
        <v>0</v>
      </c>
      <c r="D263" s="1608">
        <v>0</v>
      </c>
      <c r="E263" s="1608">
        <v>0</v>
      </c>
      <c r="F263" s="1608">
        <v>0</v>
      </c>
      <c r="G263" s="1048">
        <v>0</v>
      </c>
      <c r="H263" s="1048">
        <f t="shared" si="40"/>
        <v>0</v>
      </c>
      <c r="I263" s="1608">
        <v>0</v>
      </c>
      <c r="J263" s="1606">
        <f t="shared" si="41"/>
        <v>0</v>
      </c>
      <c r="K263" s="1606">
        <f t="shared" si="42"/>
        <v>0</v>
      </c>
      <c r="L263" s="208"/>
      <c r="M263" s="209"/>
      <c r="N263" s="209"/>
      <c r="O263" s="209"/>
      <c r="P263" s="209"/>
      <c r="Q263" s="209"/>
      <c r="R263" s="209"/>
      <c r="S263" s="209"/>
      <c r="T263" s="209"/>
      <c r="U263" s="209"/>
      <c r="V263" s="209"/>
      <c r="W263" s="209"/>
    </row>
    <row r="264" spans="1:23" ht="12.75" customHeight="1" x14ac:dyDescent="0.25">
      <c r="A264" s="1165" t="s">
        <v>2381</v>
      </c>
      <c r="B264" s="1041"/>
      <c r="C264" s="1629">
        <v>0</v>
      </c>
      <c r="D264" s="1608">
        <v>0</v>
      </c>
      <c r="E264" s="1608">
        <v>0</v>
      </c>
      <c r="F264" s="1608">
        <v>0</v>
      </c>
      <c r="G264" s="1048">
        <v>0</v>
      </c>
      <c r="H264" s="1048">
        <f t="shared" si="40"/>
        <v>0</v>
      </c>
      <c r="I264" s="1608">
        <v>0</v>
      </c>
      <c r="J264" s="1606">
        <f t="shared" si="41"/>
        <v>0</v>
      </c>
      <c r="K264" s="1606">
        <f t="shared" si="42"/>
        <v>0</v>
      </c>
      <c r="L264" s="208"/>
      <c r="M264" s="209"/>
      <c r="N264" s="209"/>
      <c r="O264" s="209"/>
      <c r="P264" s="209"/>
      <c r="Q264" s="209"/>
      <c r="R264" s="209"/>
      <c r="S264" s="209"/>
      <c r="T264" s="209"/>
      <c r="U264" s="209"/>
      <c r="V264" s="209"/>
      <c r="W264" s="209"/>
    </row>
    <row r="265" spans="1:23" ht="12" customHeight="1" x14ac:dyDescent="0.25">
      <c r="A265" s="1165" t="s">
        <v>2447</v>
      </c>
      <c r="B265" s="1041"/>
      <c r="C265" s="1629">
        <v>0</v>
      </c>
      <c r="D265" s="1608">
        <v>0</v>
      </c>
      <c r="E265" s="1608">
        <v>100000</v>
      </c>
      <c r="F265" s="1608">
        <v>0</v>
      </c>
      <c r="G265" s="1048">
        <v>120000</v>
      </c>
      <c r="H265" s="1048">
        <f>G265</f>
        <v>120000</v>
      </c>
      <c r="I265" s="1608">
        <v>120000</v>
      </c>
      <c r="J265" s="1606">
        <v>127080</v>
      </c>
      <c r="K265" s="1606">
        <v>134196.48000000001</v>
      </c>
      <c r="L265" s="208"/>
      <c r="M265" s="209"/>
      <c r="N265" s="209"/>
      <c r="O265" s="209"/>
      <c r="P265" s="209"/>
      <c r="Q265" s="209"/>
      <c r="R265" s="209"/>
      <c r="S265" s="209"/>
      <c r="T265" s="209"/>
      <c r="U265" s="209"/>
      <c r="V265" s="209"/>
      <c r="W265" s="209"/>
    </row>
    <row r="266" spans="1:23" ht="11.25" customHeight="1" x14ac:dyDescent="0.25">
      <c r="A266" s="1165" t="s">
        <v>2446</v>
      </c>
      <c r="B266" s="1041"/>
      <c r="C266" s="1629">
        <v>0</v>
      </c>
      <c r="D266" s="1608">
        <v>0</v>
      </c>
      <c r="E266" s="1608">
        <v>6300</v>
      </c>
      <c r="F266" s="1608">
        <v>17000</v>
      </c>
      <c r="G266" s="1048">
        <f>F266+1000</f>
        <v>18000</v>
      </c>
      <c r="H266" s="1048">
        <f t="shared" si="40"/>
        <v>18000</v>
      </c>
      <c r="I266" s="1606">
        <v>18000</v>
      </c>
      <c r="J266" s="1606">
        <v>19062</v>
      </c>
      <c r="K266" s="1606">
        <v>20129.472000000002</v>
      </c>
      <c r="L266" s="208"/>
      <c r="M266" s="209"/>
      <c r="N266" s="209"/>
      <c r="O266" s="209"/>
      <c r="P266" s="209"/>
      <c r="Q266" s="209"/>
      <c r="R266" s="209"/>
      <c r="S266" s="209"/>
      <c r="T266" s="209"/>
      <c r="U266" s="209"/>
      <c r="V266" s="209"/>
      <c r="W266" s="209"/>
    </row>
    <row r="267" spans="1:23" ht="11.25" customHeight="1" x14ac:dyDescent="0.25">
      <c r="A267" s="1165" t="s">
        <v>2385</v>
      </c>
      <c r="B267" s="1041"/>
      <c r="C267" s="1629">
        <v>0</v>
      </c>
      <c r="D267" s="1608">
        <v>0</v>
      </c>
      <c r="E267" s="1608">
        <v>0</v>
      </c>
      <c r="F267" s="1608">
        <v>0</v>
      </c>
      <c r="G267" s="1048">
        <v>0</v>
      </c>
      <c r="H267" s="1048">
        <f t="shared" si="40"/>
        <v>0</v>
      </c>
      <c r="I267" s="1608">
        <v>0</v>
      </c>
      <c r="J267" s="1606">
        <f t="shared" si="41"/>
        <v>0</v>
      </c>
      <c r="K267" s="1606">
        <f t="shared" si="42"/>
        <v>0</v>
      </c>
      <c r="L267" s="208"/>
      <c r="M267" s="209"/>
      <c r="N267" s="209"/>
      <c r="O267" s="209"/>
      <c r="P267" s="209"/>
      <c r="Q267" s="209"/>
      <c r="R267" s="209"/>
      <c r="S267" s="209"/>
      <c r="T267" s="209"/>
      <c r="U267" s="209"/>
      <c r="V267" s="209"/>
      <c r="W267" s="209"/>
    </row>
    <row r="268" spans="1:23" ht="11.25" customHeight="1" x14ac:dyDescent="0.25">
      <c r="A268" s="1165" t="s">
        <v>2390</v>
      </c>
      <c r="B268" s="1041"/>
      <c r="C268" s="1629">
        <v>0</v>
      </c>
      <c r="D268" s="1608">
        <v>0</v>
      </c>
      <c r="E268" s="1608">
        <v>0</v>
      </c>
      <c r="F268" s="1608">
        <v>0</v>
      </c>
      <c r="G268" s="1606">
        <v>0</v>
      </c>
      <c r="H268" s="1048">
        <f t="shared" si="40"/>
        <v>0</v>
      </c>
      <c r="I268" s="1608">
        <v>0</v>
      </c>
      <c r="J268" s="1606">
        <f t="shared" si="41"/>
        <v>0</v>
      </c>
      <c r="K268" s="1606">
        <f t="shared" si="42"/>
        <v>0</v>
      </c>
      <c r="L268" s="208"/>
      <c r="M268" s="209"/>
      <c r="N268" s="209"/>
      <c r="O268" s="209"/>
      <c r="P268" s="209"/>
      <c r="Q268" s="209"/>
      <c r="R268" s="209"/>
      <c r="S268" s="209"/>
      <c r="T268" s="209"/>
      <c r="U268" s="209"/>
      <c r="V268" s="209"/>
      <c r="W268" s="209"/>
    </row>
    <row r="269" spans="1:23" ht="11.25" customHeight="1" x14ac:dyDescent="0.25">
      <c r="A269" s="1165" t="s">
        <v>2448</v>
      </c>
      <c r="B269" s="1041"/>
      <c r="C269" s="1629">
        <v>0</v>
      </c>
      <c r="D269" s="1608">
        <v>0</v>
      </c>
      <c r="E269" s="1608">
        <v>0</v>
      </c>
      <c r="F269" s="1608">
        <v>0</v>
      </c>
      <c r="G269" s="1606">
        <v>0</v>
      </c>
      <c r="H269" s="1048">
        <f t="shared" si="40"/>
        <v>0</v>
      </c>
      <c r="I269" s="1608">
        <v>0</v>
      </c>
      <c r="J269" s="1606">
        <f t="shared" si="41"/>
        <v>0</v>
      </c>
      <c r="K269" s="1606">
        <f t="shared" si="42"/>
        <v>0</v>
      </c>
      <c r="L269" s="208"/>
      <c r="M269" s="209"/>
      <c r="N269" s="209"/>
      <c r="O269" s="209"/>
      <c r="P269" s="209"/>
      <c r="Q269" s="209"/>
      <c r="R269" s="209"/>
      <c r="S269" s="209"/>
      <c r="T269" s="209"/>
      <c r="U269" s="209"/>
      <c r="V269" s="209"/>
      <c r="W269" s="209"/>
    </row>
    <row r="270" spans="1:23" ht="11.25" customHeight="1" x14ac:dyDescent="0.25">
      <c r="A270" s="1165" t="s">
        <v>2391</v>
      </c>
      <c r="B270" s="1041"/>
      <c r="C270" s="1629">
        <v>0</v>
      </c>
      <c r="D270" s="1608">
        <v>0</v>
      </c>
      <c r="E270" s="1608">
        <v>15040.24</v>
      </c>
      <c r="F270" s="1608">
        <v>24564</v>
      </c>
      <c r="G270" s="1048">
        <f>F270+-5901.06</f>
        <v>18662.939999999999</v>
      </c>
      <c r="H270" s="1048">
        <f t="shared" si="40"/>
        <v>18662.939999999999</v>
      </c>
      <c r="I270" s="1606">
        <v>16130</v>
      </c>
      <c r="J270" s="1606">
        <v>17081.669999999998</v>
      </c>
      <c r="K270" s="1606">
        <v>18038.24352</v>
      </c>
      <c r="L270" s="208"/>
      <c r="M270" s="209"/>
      <c r="N270" s="209"/>
      <c r="O270" s="209"/>
      <c r="P270" s="209"/>
      <c r="Q270" s="209"/>
      <c r="R270" s="209"/>
      <c r="S270" s="209"/>
      <c r="T270" s="209"/>
      <c r="U270" s="209"/>
      <c r="V270" s="209"/>
      <c r="W270" s="209"/>
    </row>
    <row r="271" spans="1:23" ht="11.25" customHeight="1" x14ac:dyDescent="0.25">
      <c r="A271" s="1165" t="s">
        <v>2400</v>
      </c>
      <c r="B271" s="1041"/>
      <c r="C271" s="1629">
        <v>0</v>
      </c>
      <c r="D271" s="1608">
        <v>0</v>
      </c>
      <c r="E271" s="1608">
        <v>0</v>
      </c>
      <c r="F271" s="1608">
        <v>0</v>
      </c>
      <c r="G271" s="1606">
        <v>0</v>
      </c>
      <c r="H271" s="1048">
        <f t="shared" si="40"/>
        <v>0</v>
      </c>
      <c r="I271" s="1608">
        <v>0</v>
      </c>
      <c r="J271" s="1606">
        <f t="shared" si="41"/>
        <v>0</v>
      </c>
      <c r="K271" s="1606">
        <f t="shared" si="42"/>
        <v>0</v>
      </c>
      <c r="L271" s="208"/>
      <c r="M271" s="209"/>
      <c r="N271" s="209"/>
      <c r="O271" s="209"/>
      <c r="P271" s="209"/>
      <c r="Q271" s="209"/>
      <c r="R271" s="209"/>
      <c r="S271" s="209"/>
      <c r="T271" s="209"/>
      <c r="U271" s="209"/>
      <c r="V271" s="209"/>
      <c r="W271" s="209"/>
    </row>
    <row r="272" spans="1:23" ht="11.25" customHeight="1" x14ac:dyDescent="0.25">
      <c r="A272" s="1165" t="s">
        <v>2387</v>
      </c>
      <c r="B272" s="1041"/>
      <c r="C272" s="1629">
        <v>0</v>
      </c>
      <c r="D272" s="1608">
        <v>0</v>
      </c>
      <c r="E272" s="1608">
        <v>0</v>
      </c>
      <c r="F272" s="1608">
        <v>0</v>
      </c>
      <c r="G272" s="1606">
        <v>0</v>
      </c>
      <c r="H272" s="1048">
        <f t="shared" si="40"/>
        <v>0</v>
      </c>
      <c r="I272" s="1608">
        <v>0</v>
      </c>
      <c r="J272" s="1606">
        <f t="shared" si="41"/>
        <v>0</v>
      </c>
      <c r="K272" s="1606">
        <f t="shared" si="42"/>
        <v>0</v>
      </c>
      <c r="L272" s="208"/>
      <c r="M272" s="209"/>
      <c r="N272" s="209"/>
      <c r="O272" s="209"/>
      <c r="P272" s="209"/>
      <c r="Q272" s="209"/>
      <c r="R272" s="209"/>
      <c r="S272" s="209"/>
      <c r="T272" s="209"/>
      <c r="U272" s="209"/>
      <c r="V272" s="209"/>
      <c r="W272" s="209"/>
    </row>
    <row r="273" spans="1:23" ht="11.25" customHeight="1" x14ac:dyDescent="0.25">
      <c r="A273" s="1165" t="s">
        <v>2411</v>
      </c>
      <c r="B273" s="1041"/>
      <c r="C273" s="1629">
        <v>0</v>
      </c>
      <c r="D273" s="1608">
        <v>0</v>
      </c>
      <c r="E273" s="1608">
        <v>0</v>
      </c>
      <c r="F273" s="1608">
        <v>0</v>
      </c>
      <c r="G273" s="1606">
        <v>0</v>
      </c>
      <c r="H273" s="1048">
        <f t="shared" si="40"/>
        <v>0</v>
      </c>
      <c r="I273" s="1608">
        <v>0</v>
      </c>
      <c r="J273" s="1606">
        <f t="shared" si="41"/>
        <v>0</v>
      </c>
      <c r="K273" s="1606">
        <f t="shared" si="42"/>
        <v>0</v>
      </c>
      <c r="L273" s="208"/>
      <c r="M273" s="209"/>
      <c r="N273" s="209"/>
      <c r="O273" s="209"/>
      <c r="P273" s="209"/>
      <c r="Q273" s="209"/>
      <c r="R273" s="209"/>
      <c r="S273" s="209"/>
      <c r="T273" s="209"/>
      <c r="U273" s="209"/>
      <c r="V273" s="209"/>
      <c r="W273" s="209"/>
    </row>
    <row r="274" spans="1:23" ht="11.25" customHeight="1" x14ac:dyDescent="0.25">
      <c r="A274" s="1165" t="s">
        <v>2412</v>
      </c>
      <c r="B274" s="1041"/>
      <c r="C274" s="1629">
        <v>0</v>
      </c>
      <c r="D274" s="1608">
        <v>0</v>
      </c>
      <c r="E274" s="1608">
        <v>0</v>
      </c>
      <c r="F274" s="1608">
        <v>0</v>
      </c>
      <c r="G274" s="1048">
        <v>3218</v>
      </c>
      <c r="H274" s="1048">
        <f t="shared" si="40"/>
        <v>3218</v>
      </c>
      <c r="I274" s="1608">
        <v>0</v>
      </c>
      <c r="J274" s="1606">
        <f t="shared" si="41"/>
        <v>0</v>
      </c>
      <c r="K274" s="1606">
        <f t="shared" si="42"/>
        <v>0</v>
      </c>
      <c r="L274" s="208"/>
      <c r="M274" s="209"/>
      <c r="N274" s="209"/>
      <c r="O274" s="209"/>
      <c r="P274" s="209"/>
      <c r="Q274" s="209"/>
      <c r="R274" s="209"/>
      <c r="S274" s="209"/>
      <c r="T274" s="209"/>
      <c r="U274" s="209"/>
      <c r="V274" s="209"/>
      <c r="W274" s="209"/>
    </row>
    <row r="275" spans="1:23" ht="11.25" customHeight="1" x14ac:dyDescent="0.25">
      <c r="A275" s="1165" t="s">
        <v>2413</v>
      </c>
      <c r="B275" s="1041"/>
      <c r="C275" s="1629">
        <v>0</v>
      </c>
      <c r="D275" s="1608">
        <v>0</v>
      </c>
      <c r="E275" s="1608">
        <v>56321.05</v>
      </c>
      <c r="F275" s="1608">
        <v>0</v>
      </c>
      <c r="G275" s="1606">
        <v>0</v>
      </c>
      <c r="H275" s="1048">
        <f t="shared" si="40"/>
        <v>0</v>
      </c>
      <c r="I275" s="1608">
        <v>0</v>
      </c>
      <c r="J275" s="1606">
        <f t="shared" si="41"/>
        <v>0</v>
      </c>
      <c r="K275" s="1606">
        <f t="shared" si="42"/>
        <v>0</v>
      </c>
      <c r="L275" s="208"/>
      <c r="M275" s="209"/>
      <c r="N275" s="209"/>
      <c r="O275" s="209"/>
      <c r="P275" s="209"/>
      <c r="Q275" s="209"/>
      <c r="R275" s="209"/>
      <c r="S275" s="209"/>
      <c r="T275" s="209"/>
      <c r="U275" s="209"/>
      <c r="V275" s="209"/>
      <c r="W275" s="209"/>
    </row>
    <row r="276" spans="1:23" ht="11.25" customHeight="1" x14ac:dyDescent="0.25">
      <c r="A276" s="1165" t="s">
        <v>2415</v>
      </c>
      <c r="B276" s="1041"/>
      <c r="C276" s="1629">
        <v>0</v>
      </c>
      <c r="D276" s="1608">
        <v>0</v>
      </c>
      <c r="E276" s="1608">
        <v>0</v>
      </c>
      <c r="F276" s="1608">
        <v>0</v>
      </c>
      <c r="G276" s="1606">
        <v>0</v>
      </c>
      <c r="H276" s="1048">
        <f t="shared" si="40"/>
        <v>0</v>
      </c>
      <c r="I276" s="1608">
        <v>0</v>
      </c>
      <c r="J276" s="1606">
        <f t="shared" si="41"/>
        <v>0</v>
      </c>
      <c r="K276" s="1606">
        <f t="shared" si="42"/>
        <v>0</v>
      </c>
      <c r="L276" s="208"/>
      <c r="M276" s="209"/>
      <c r="N276" s="209"/>
      <c r="O276" s="209"/>
      <c r="P276" s="209"/>
      <c r="Q276" s="209"/>
      <c r="R276" s="209"/>
      <c r="S276" s="209"/>
      <c r="T276" s="209"/>
      <c r="U276" s="209"/>
      <c r="V276" s="209"/>
      <c r="W276" s="209"/>
    </row>
    <row r="277" spans="1:23" ht="11.25" customHeight="1" x14ac:dyDescent="0.25">
      <c r="A277" s="1165" t="s">
        <v>2438</v>
      </c>
      <c r="B277" s="1041"/>
      <c r="C277" s="1629">
        <v>0</v>
      </c>
      <c r="D277" s="1608">
        <v>0</v>
      </c>
      <c r="E277" s="1608">
        <v>0</v>
      </c>
      <c r="F277" s="1608">
        <v>0</v>
      </c>
      <c r="G277" s="1606">
        <v>0</v>
      </c>
      <c r="H277" s="1048">
        <f t="shared" si="40"/>
        <v>0</v>
      </c>
      <c r="I277" s="1608">
        <v>0</v>
      </c>
      <c r="J277" s="1606">
        <f t="shared" si="41"/>
        <v>0</v>
      </c>
      <c r="K277" s="1606">
        <f t="shared" si="42"/>
        <v>0</v>
      </c>
      <c r="L277" s="208"/>
      <c r="M277" s="209"/>
      <c r="N277" s="209"/>
      <c r="O277" s="209"/>
      <c r="P277" s="209"/>
      <c r="Q277" s="209"/>
      <c r="R277" s="209"/>
      <c r="S277" s="209"/>
      <c r="T277" s="209"/>
      <c r="U277" s="209"/>
      <c r="V277" s="209"/>
      <c r="W277" s="209"/>
    </row>
    <row r="278" spans="1:23" ht="11.25" customHeight="1" x14ac:dyDescent="0.25">
      <c r="A278" s="1165" t="s">
        <v>2450</v>
      </c>
      <c r="B278" s="1041"/>
      <c r="C278" s="1629">
        <v>0</v>
      </c>
      <c r="D278" s="1608">
        <v>0</v>
      </c>
      <c r="E278" s="1608">
        <v>142640</v>
      </c>
      <c r="F278" s="1608">
        <v>0</v>
      </c>
      <c r="G278" s="1606">
        <v>0</v>
      </c>
      <c r="H278" s="1048">
        <f t="shared" si="40"/>
        <v>0</v>
      </c>
      <c r="I278" s="1608">
        <v>0</v>
      </c>
      <c r="J278" s="1606">
        <f t="shared" si="41"/>
        <v>0</v>
      </c>
      <c r="K278" s="1606">
        <f t="shared" si="42"/>
        <v>0</v>
      </c>
      <c r="L278" s="208"/>
      <c r="M278" s="209"/>
      <c r="N278" s="209"/>
      <c r="O278" s="209"/>
      <c r="P278" s="209"/>
      <c r="Q278" s="209"/>
      <c r="R278" s="209"/>
      <c r="S278" s="209"/>
      <c r="T278" s="209"/>
      <c r="U278" s="209"/>
      <c r="V278" s="209"/>
      <c r="W278" s="209"/>
    </row>
    <row r="279" spans="1:23" ht="11.25" customHeight="1" x14ac:dyDescent="0.25">
      <c r="A279" s="1165" t="s">
        <v>2451</v>
      </c>
      <c r="B279" s="1041"/>
      <c r="C279" s="1629">
        <v>0</v>
      </c>
      <c r="D279" s="1608">
        <v>0</v>
      </c>
      <c r="E279" s="1608">
        <v>0</v>
      </c>
      <c r="F279" s="1608">
        <v>50000</v>
      </c>
      <c r="G279" s="1048">
        <f>F279+-50000</f>
        <v>0</v>
      </c>
      <c r="H279" s="1048">
        <f t="shared" si="40"/>
        <v>0</v>
      </c>
      <c r="I279" s="1608">
        <v>100000</v>
      </c>
      <c r="J279" s="1606">
        <f t="shared" si="41"/>
        <v>105900</v>
      </c>
      <c r="K279" s="1606">
        <f t="shared" si="42"/>
        <v>111830.40000000001</v>
      </c>
      <c r="L279" s="208"/>
      <c r="M279" s="209"/>
      <c r="N279" s="209"/>
      <c r="O279" s="209"/>
      <c r="P279" s="209"/>
      <c r="Q279" s="209"/>
      <c r="R279" s="209"/>
      <c r="S279" s="209"/>
      <c r="T279" s="209"/>
      <c r="U279" s="209"/>
      <c r="V279" s="209"/>
      <c r="W279" s="209"/>
    </row>
    <row r="280" spans="1:23" ht="11.25" customHeight="1" x14ac:dyDescent="0.25">
      <c r="A280" s="1165" t="s">
        <v>2452</v>
      </c>
      <c r="B280" s="1041"/>
      <c r="C280" s="1629">
        <v>0</v>
      </c>
      <c r="D280" s="1608">
        <v>0</v>
      </c>
      <c r="E280" s="1608">
        <v>0</v>
      </c>
      <c r="F280" s="1608">
        <v>0</v>
      </c>
      <c r="G280" s="1606">
        <v>0</v>
      </c>
      <c r="H280" s="1048">
        <f t="shared" si="40"/>
        <v>0</v>
      </c>
      <c r="I280" s="1608">
        <v>0</v>
      </c>
      <c r="J280" s="1606">
        <f t="shared" si="41"/>
        <v>0</v>
      </c>
      <c r="K280" s="1606">
        <f t="shared" si="42"/>
        <v>0</v>
      </c>
      <c r="L280" s="208"/>
      <c r="M280" s="209"/>
      <c r="N280" s="209"/>
      <c r="O280" s="209"/>
      <c r="P280" s="209"/>
      <c r="Q280" s="209"/>
      <c r="R280" s="209"/>
      <c r="S280" s="209"/>
      <c r="T280" s="209"/>
      <c r="U280" s="209"/>
      <c r="V280" s="209"/>
      <c r="W280" s="209"/>
    </row>
    <row r="281" spans="1:23" ht="11.25" customHeight="1" x14ac:dyDescent="0.25">
      <c r="A281" s="1165" t="s">
        <v>2453</v>
      </c>
      <c r="B281" s="1041"/>
      <c r="C281" s="1629">
        <v>0</v>
      </c>
      <c r="D281" s="1608">
        <v>0</v>
      </c>
      <c r="E281" s="1052">
        <v>2595204.7000000002</v>
      </c>
      <c r="F281" s="1608">
        <v>0</v>
      </c>
      <c r="G281" s="1606">
        <v>0</v>
      </c>
      <c r="H281" s="1048">
        <f t="shared" si="40"/>
        <v>0</v>
      </c>
      <c r="I281" s="1608">
        <v>0</v>
      </c>
      <c r="J281" s="1606">
        <f t="shared" si="41"/>
        <v>0</v>
      </c>
      <c r="K281" s="1606">
        <f t="shared" si="42"/>
        <v>0</v>
      </c>
      <c r="L281" s="208"/>
      <c r="M281" s="209"/>
      <c r="N281" s="209"/>
      <c r="O281" s="209"/>
      <c r="P281" s="209"/>
      <c r="Q281" s="209"/>
      <c r="R281" s="209"/>
      <c r="S281" s="209"/>
      <c r="T281" s="209"/>
      <c r="U281" s="209"/>
      <c r="V281" s="209"/>
      <c r="W281" s="209"/>
    </row>
    <row r="282" spans="1:23" ht="11.25" customHeight="1" x14ac:dyDescent="0.25">
      <c r="A282" s="1165" t="s">
        <v>2454</v>
      </c>
      <c r="B282" s="1041"/>
      <c r="C282" s="1629">
        <v>0</v>
      </c>
      <c r="D282" s="1608">
        <v>0</v>
      </c>
      <c r="E282" s="1052">
        <v>0</v>
      </c>
      <c r="F282" s="1608">
        <v>0</v>
      </c>
      <c r="G282" s="1606">
        <v>0</v>
      </c>
      <c r="H282" s="1048">
        <f t="shared" si="40"/>
        <v>0</v>
      </c>
      <c r="I282" s="1608">
        <v>0</v>
      </c>
      <c r="J282" s="1606">
        <f t="shared" si="41"/>
        <v>0</v>
      </c>
      <c r="K282" s="1606">
        <f t="shared" si="42"/>
        <v>0</v>
      </c>
      <c r="L282" s="208"/>
      <c r="M282" s="209"/>
      <c r="N282" s="209"/>
      <c r="O282" s="209"/>
      <c r="P282" s="209"/>
      <c r="Q282" s="209"/>
      <c r="R282" s="209"/>
      <c r="S282" s="209"/>
      <c r="T282" s="209"/>
      <c r="U282" s="209"/>
      <c r="V282" s="209"/>
      <c r="W282" s="209"/>
    </row>
    <row r="283" spans="1:23" ht="11.25" customHeight="1" x14ac:dyDescent="0.25">
      <c r="A283" s="1165" t="s">
        <v>2455</v>
      </c>
      <c r="B283" s="1041"/>
      <c r="C283" s="1629">
        <v>0</v>
      </c>
      <c r="D283" s="1608">
        <v>0</v>
      </c>
      <c r="E283" s="1052">
        <v>19900</v>
      </c>
      <c r="F283" s="1608">
        <v>0</v>
      </c>
      <c r="G283" s="1606">
        <v>0</v>
      </c>
      <c r="H283" s="1048">
        <f t="shared" si="40"/>
        <v>0</v>
      </c>
      <c r="I283" s="1608">
        <v>0</v>
      </c>
      <c r="J283" s="1606">
        <f t="shared" si="41"/>
        <v>0</v>
      </c>
      <c r="K283" s="1606">
        <f t="shared" si="42"/>
        <v>0</v>
      </c>
      <c r="L283" s="208"/>
      <c r="M283" s="209"/>
      <c r="N283" s="209"/>
      <c r="O283" s="209"/>
      <c r="P283" s="209"/>
      <c r="Q283" s="209"/>
      <c r="R283" s="209"/>
      <c r="S283" s="209"/>
      <c r="T283" s="209"/>
      <c r="U283" s="209"/>
      <c r="V283" s="209"/>
      <c r="W283" s="209"/>
    </row>
    <row r="284" spans="1:23" ht="11.25" customHeight="1" x14ac:dyDescent="0.25">
      <c r="A284" s="1165" t="s">
        <v>2456</v>
      </c>
      <c r="B284" s="1041"/>
      <c r="C284" s="1629">
        <v>0</v>
      </c>
      <c r="D284" s="1608">
        <v>0</v>
      </c>
      <c r="E284" s="1050"/>
      <c r="F284" s="1052"/>
      <c r="G284" s="1606"/>
      <c r="H284" s="1606"/>
      <c r="I284" s="1608"/>
      <c r="J284" s="1606"/>
      <c r="K284" s="2677"/>
      <c r="L284" s="208"/>
      <c r="M284" s="209"/>
      <c r="N284" s="209"/>
      <c r="O284" s="209"/>
      <c r="P284" s="209"/>
      <c r="Q284" s="209"/>
      <c r="R284" s="209"/>
      <c r="S284" s="209"/>
      <c r="T284" s="209"/>
      <c r="U284" s="209"/>
      <c r="V284" s="209"/>
      <c r="W284" s="209"/>
    </row>
    <row r="285" spans="1:23" ht="11.25" customHeight="1" x14ac:dyDescent="0.25">
      <c r="A285" s="1165">
        <f>A36</f>
        <v>0</v>
      </c>
      <c r="B285" s="1041"/>
      <c r="C285" s="1048"/>
      <c r="D285" s="1048"/>
      <c r="E285" s="1049"/>
      <c r="F285" s="1050"/>
      <c r="G285" s="1048"/>
      <c r="H285" s="1051"/>
      <c r="I285" s="1052"/>
      <c r="J285" s="1048"/>
      <c r="K285" s="2677"/>
      <c r="L285" s="208"/>
      <c r="M285" s="209"/>
      <c r="N285" s="209"/>
      <c r="O285" s="209"/>
      <c r="P285" s="209"/>
      <c r="Q285" s="209"/>
      <c r="R285" s="209"/>
      <c r="S285" s="209"/>
      <c r="T285" s="209"/>
      <c r="U285" s="209"/>
      <c r="V285" s="209"/>
      <c r="W285" s="209"/>
    </row>
    <row r="286" spans="1:23" ht="11.25" customHeight="1" x14ac:dyDescent="0.25">
      <c r="A286" s="1165">
        <f>A37</f>
        <v>0</v>
      </c>
      <c r="B286" s="1041"/>
      <c r="C286" s="1048"/>
      <c r="D286" s="1048"/>
      <c r="E286" s="1049"/>
      <c r="F286" s="1050"/>
      <c r="G286" s="1048"/>
      <c r="H286" s="1051"/>
      <c r="I286" s="1052"/>
      <c r="J286" s="1048"/>
      <c r="K286" s="2677"/>
      <c r="L286" s="208"/>
      <c r="M286" s="209"/>
      <c r="N286" s="209"/>
      <c r="O286" s="209"/>
      <c r="P286" s="209"/>
      <c r="Q286" s="209"/>
      <c r="R286" s="209"/>
      <c r="S286" s="209"/>
      <c r="T286" s="209"/>
      <c r="U286" s="209"/>
      <c r="V286" s="209"/>
      <c r="W286" s="209"/>
    </row>
    <row r="287" spans="1:23" ht="15" customHeight="1" x14ac:dyDescent="0.25">
      <c r="A287" s="1164" t="str">
        <f>A38</f>
        <v>Vote 4 - 104 FINANCE</v>
      </c>
      <c r="B287" s="1053"/>
      <c r="C287" s="971">
        <f t="shared" ref="C287:K287" si="43">SUM(C288:C348)</f>
        <v>0</v>
      </c>
      <c r="D287" s="971">
        <f t="shared" si="43"/>
        <v>17983751.189999998</v>
      </c>
      <c r="E287" s="972">
        <f t="shared" si="43"/>
        <v>30897526</v>
      </c>
      <c r="F287" s="973">
        <f t="shared" si="43"/>
        <v>19870972</v>
      </c>
      <c r="G287" s="971">
        <f t="shared" si="43"/>
        <v>16071339.51</v>
      </c>
      <c r="H287" s="974">
        <f t="shared" si="43"/>
        <v>16071339.51</v>
      </c>
      <c r="I287" s="975">
        <f t="shared" si="43"/>
        <v>72906148</v>
      </c>
      <c r="J287" s="975">
        <f t="shared" si="43"/>
        <v>77207610.731999993</v>
      </c>
      <c r="K287" s="975">
        <f t="shared" si="43"/>
        <v>81531236.932991996</v>
      </c>
      <c r="L287" s="208"/>
      <c r="M287" s="209"/>
      <c r="N287" s="209"/>
      <c r="O287" s="209"/>
      <c r="P287" s="209"/>
      <c r="Q287" s="209"/>
      <c r="R287" s="209"/>
      <c r="S287" s="209"/>
      <c r="T287" s="209"/>
      <c r="U287" s="209"/>
      <c r="V287" s="209"/>
      <c r="W287" s="209"/>
    </row>
    <row r="288" spans="1:23" ht="11.25" customHeight="1" x14ac:dyDescent="0.25">
      <c r="A288" s="1165" t="s">
        <v>2375</v>
      </c>
      <c r="B288" s="1041"/>
      <c r="C288" s="1050">
        <v>0</v>
      </c>
      <c r="D288" s="1052">
        <f>[5]TB!$E$178</f>
        <v>4891461.7699999996</v>
      </c>
      <c r="E288" s="1052">
        <v>7417561.0800000001</v>
      </c>
      <c r="F288" s="1052">
        <v>9429860</v>
      </c>
      <c r="G288" s="1048">
        <v>7156403</v>
      </c>
      <c r="H288" s="1051">
        <f t="shared" ref="H288:H319" si="44">G288</f>
        <v>7156403</v>
      </c>
      <c r="I288" s="1048">
        <v>8613332</v>
      </c>
      <c r="J288" s="1048">
        <v>9121518.5879999995</v>
      </c>
      <c r="K288" s="1048">
        <v>9632323.6289280001</v>
      </c>
      <c r="L288" s="208"/>
      <c r="M288" s="209"/>
      <c r="N288" s="209"/>
      <c r="O288" s="209"/>
      <c r="P288" s="209"/>
      <c r="Q288" s="209"/>
      <c r="R288" s="209"/>
      <c r="S288" s="209"/>
      <c r="T288" s="209"/>
      <c r="U288" s="209"/>
      <c r="V288" s="209"/>
      <c r="W288" s="209"/>
    </row>
    <row r="289" spans="1:23" ht="11.25" customHeight="1" x14ac:dyDescent="0.25">
      <c r="A289" s="1165" t="s">
        <v>2432</v>
      </c>
      <c r="B289" s="1041"/>
      <c r="C289" s="1050">
        <v>0</v>
      </c>
      <c r="D289" s="1052">
        <f>[5]TB!$E$180</f>
        <v>283837.01</v>
      </c>
      <c r="E289" s="1052">
        <v>534452.98</v>
      </c>
      <c r="F289" s="1052">
        <v>644270</v>
      </c>
      <c r="G289" s="1048">
        <v>561772</v>
      </c>
      <c r="H289" s="1051">
        <f t="shared" si="44"/>
        <v>561772</v>
      </c>
      <c r="I289" s="1048">
        <v>669236</v>
      </c>
      <c r="J289" s="1048">
        <v>708720.924</v>
      </c>
      <c r="K289" s="1048">
        <v>748409.295744</v>
      </c>
      <c r="L289" s="208"/>
      <c r="M289" s="209"/>
      <c r="N289" s="209"/>
      <c r="O289" s="209"/>
      <c r="P289" s="209"/>
      <c r="Q289" s="209"/>
      <c r="R289" s="209"/>
      <c r="S289" s="209"/>
      <c r="T289" s="209"/>
      <c r="U289" s="209"/>
      <c r="V289" s="209"/>
      <c r="W289" s="209"/>
    </row>
    <row r="290" spans="1:23" ht="11.25" customHeight="1" x14ac:dyDescent="0.25">
      <c r="A290" s="1165" t="s">
        <v>2457</v>
      </c>
      <c r="B290" s="1041"/>
      <c r="C290" s="1050">
        <v>0</v>
      </c>
      <c r="D290" s="1052">
        <f>[5]TB!$E$181</f>
        <v>1999.2</v>
      </c>
      <c r="E290" s="1052">
        <v>2736.85</v>
      </c>
      <c r="F290" s="1052">
        <v>1976</v>
      </c>
      <c r="G290" s="1048">
        <v>4264</v>
      </c>
      <c r="H290" s="1051">
        <f t="shared" si="44"/>
        <v>4264</v>
      </c>
      <c r="I290" s="1048">
        <v>2871</v>
      </c>
      <c r="J290" s="1048">
        <v>3040.3889999999997</v>
      </c>
      <c r="K290" s="1048">
        <v>3210.6507839999999</v>
      </c>
      <c r="L290" s="208"/>
      <c r="M290" s="209"/>
      <c r="N290" s="209"/>
      <c r="O290" s="209"/>
      <c r="P290" s="209"/>
      <c r="Q290" s="209"/>
      <c r="R290" s="209"/>
      <c r="S290" s="209"/>
      <c r="T290" s="209"/>
      <c r="U290" s="209"/>
      <c r="V290" s="209"/>
      <c r="W290" s="209"/>
    </row>
    <row r="291" spans="1:23" ht="11.25" customHeight="1" x14ac:dyDescent="0.25">
      <c r="A291" s="1165" t="s">
        <v>2434</v>
      </c>
      <c r="B291" s="1041"/>
      <c r="C291" s="1050">
        <v>0</v>
      </c>
      <c r="D291" s="1052">
        <f>[5]TB!$E$182</f>
        <v>279746.49</v>
      </c>
      <c r="E291" s="1052">
        <v>128404.9</v>
      </c>
      <c r="F291" s="1052">
        <v>0</v>
      </c>
      <c r="G291" s="1048">
        <f>F291+250000</f>
        <v>250000</v>
      </c>
      <c r="H291" s="1051">
        <f t="shared" si="44"/>
        <v>250000</v>
      </c>
      <c r="I291" s="1048">
        <v>150000</v>
      </c>
      <c r="J291" s="1048">
        <v>158850</v>
      </c>
      <c r="K291" s="1048">
        <v>167745.60000000001</v>
      </c>
      <c r="L291" s="208"/>
      <c r="M291" s="209"/>
      <c r="N291" s="209"/>
      <c r="O291" s="209"/>
      <c r="P291" s="209"/>
      <c r="Q291" s="209"/>
      <c r="R291" s="209"/>
      <c r="S291" s="209"/>
      <c r="T291" s="209"/>
      <c r="U291" s="209"/>
      <c r="V291" s="209"/>
      <c r="W291" s="209"/>
    </row>
    <row r="292" spans="1:23" ht="11.25" customHeight="1" x14ac:dyDescent="0.25">
      <c r="A292" s="1165" t="s">
        <v>2435</v>
      </c>
      <c r="B292" s="1041"/>
      <c r="C292" s="1050">
        <v>0</v>
      </c>
      <c r="D292" s="1052">
        <f>[5]TB!$E$188</f>
        <v>46623.15</v>
      </c>
      <c r="E292" s="1052">
        <v>38111.949999999997</v>
      </c>
      <c r="F292" s="1052">
        <v>0</v>
      </c>
      <c r="G292" s="1048">
        <v>0</v>
      </c>
      <c r="H292" s="1051">
        <f t="shared" si="44"/>
        <v>0</v>
      </c>
      <c r="I292" s="1052"/>
      <c r="J292" s="1048">
        <f t="shared" ref="J292:J346" si="45">I292*1.059</f>
        <v>0</v>
      </c>
      <c r="K292" s="1048">
        <f t="shared" ref="K292:K346" si="46">J292*1.056</f>
        <v>0</v>
      </c>
      <c r="L292" s="208"/>
      <c r="M292" s="209"/>
      <c r="N292" s="209"/>
      <c r="O292" s="209"/>
      <c r="P292" s="209"/>
      <c r="Q292" s="209"/>
      <c r="R292" s="209"/>
      <c r="S292" s="209"/>
      <c r="T292" s="209"/>
      <c r="U292" s="209"/>
      <c r="V292" s="209"/>
      <c r="W292" s="209"/>
    </row>
    <row r="293" spans="1:23" ht="11.25" customHeight="1" x14ac:dyDescent="0.25">
      <c r="A293" s="1165" t="s">
        <v>2376</v>
      </c>
      <c r="B293" s="1041"/>
      <c r="C293" s="1050">
        <v>0</v>
      </c>
      <c r="D293" s="1052">
        <f>[5]TB!$E$183</f>
        <v>987066.91</v>
      </c>
      <c r="E293" s="1052">
        <v>1373071.47</v>
      </c>
      <c r="F293" s="1052">
        <v>1082527</v>
      </c>
      <c r="G293" s="1048">
        <v>1293362</v>
      </c>
      <c r="H293" s="1051">
        <f t="shared" si="44"/>
        <v>1293362</v>
      </c>
      <c r="I293" s="1048">
        <v>1311168</v>
      </c>
      <c r="J293" s="1048">
        <v>1388526.912</v>
      </c>
      <c r="K293" s="1048">
        <v>1466284.4190720001</v>
      </c>
      <c r="L293" s="208"/>
      <c r="M293" s="209"/>
      <c r="N293" s="209"/>
      <c r="O293" s="209"/>
      <c r="P293" s="209"/>
      <c r="Q293" s="209"/>
      <c r="R293" s="209"/>
      <c r="S293" s="209"/>
      <c r="T293" s="209"/>
      <c r="U293" s="209"/>
      <c r="V293" s="209"/>
      <c r="W293" s="209"/>
    </row>
    <row r="294" spans="1:23" ht="11.25" customHeight="1" x14ac:dyDescent="0.25">
      <c r="A294" s="1165" t="s">
        <v>2377</v>
      </c>
      <c r="B294" s="1041"/>
      <c r="C294" s="1050">
        <v>0</v>
      </c>
      <c r="D294" s="1052">
        <f>[5]TB!$E$184</f>
        <v>323355</v>
      </c>
      <c r="E294" s="1052">
        <v>396810.6</v>
      </c>
      <c r="F294" s="1052">
        <v>404523</v>
      </c>
      <c r="G294" s="1048">
        <f>F294+54185</f>
        <v>458708</v>
      </c>
      <c r="H294" s="1051">
        <f t="shared" si="44"/>
        <v>458708</v>
      </c>
      <c r="I294" s="1048">
        <v>524695</v>
      </c>
      <c r="J294" s="1048">
        <v>555652.005</v>
      </c>
      <c r="K294" s="1048">
        <v>586768.51728000003</v>
      </c>
      <c r="L294" s="208"/>
      <c r="M294" s="209"/>
      <c r="N294" s="209"/>
      <c r="O294" s="209"/>
      <c r="P294" s="209"/>
      <c r="Q294" s="209"/>
      <c r="R294" s="209"/>
      <c r="S294" s="209"/>
      <c r="T294" s="209"/>
      <c r="U294" s="209"/>
      <c r="V294" s="209"/>
      <c r="W294" s="209"/>
    </row>
    <row r="295" spans="1:23" ht="11.25" customHeight="1" x14ac:dyDescent="0.25">
      <c r="A295" s="1165" t="s">
        <v>2378</v>
      </c>
      <c r="B295" s="1041"/>
      <c r="C295" s="1050">
        <v>0</v>
      </c>
      <c r="D295" s="1052"/>
      <c r="E295" s="1052">
        <v>0</v>
      </c>
      <c r="F295" s="1052">
        <v>0</v>
      </c>
      <c r="G295" s="1048">
        <v>0</v>
      </c>
      <c r="H295" s="1051">
        <f t="shared" si="44"/>
        <v>0</v>
      </c>
      <c r="I295" s="1052"/>
      <c r="J295" s="1048">
        <f t="shared" si="45"/>
        <v>0</v>
      </c>
      <c r="K295" s="1048">
        <f t="shared" si="46"/>
        <v>0</v>
      </c>
      <c r="L295" s="208"/>
      <c r="M295" s="209"/>
      <c r="N295" s="209"/>
      <c r="O295" s="209"/>
      <c r="P295" s="209"/>
      <c r="Q295" s="209"/>
      <c r="R295" s="209"/>
      <c r="S295" s="209"/>
      <c r="T295" s="209"/>
      <c r="U295" s="209"/>
      <c r="V295" s="209"/>
      <c r="W295" s="209"/>
    </row>
    <row r="296" spans="1:23" ht="11.25" customHeight="1" x14ac:dyDescent="0.25">
      <c r="A296" s="1165" t="s">
        <v>2379</v>
      </c>
      <c r="B296" s="1041"/>
      <c r="C296" s="1050">
        <v>0</v>
      </c>
      <c r="D296" s="1052">
        <f>[5]TB!$E$185</f>
        <v>19923</v>
      </c>
      <c r="E296" s="1052">
        <v>24732</v>
      </c>
      <c r="F296" s="1052">
        <v>24732</v>
      </c>
      <c r="G296" s="1048">
        <v>24732</v>
      </c>
      <c r="H296" s="1051">
        <f t="shared" si="44"/>
        <v>24732</v>
      </c>
      <c r="I296" s="1048">
        <v>8244</v>
      </c>
      <c r="J296" s="1048">
        <v>8730.3959999999988</v>
      </c>
      <c r="K296" s="1048">
        <v>9219.2981759999984</v>
      </c>
      <c r="L296" s="208"/>
      <c r="M296" s="209"/>
      <c r="N296" s="209"/>
      <c r="O296" s="209"/>
      <c r="P296" s="209"/>
      <c r="Q296" s="209"/>
      <c r="R296" s="209"/>
      <c r="S296" s="209"/>
      <c r="T296" s="209"/>
      <c r="U296" s="209"/>
      <c r="V296" s="209"/>
      <c r="W296" s="209"/>
    </row>
    <row r="297" spans="1:23" ht="11.25" customHeight="1" x14ac:dyDescent="0.25">
      <c r="A297" s="1165" t="s">
        <v>2458</v>
      </c>
      <c r="B297" s="1041"/>
      <c r="C297" s="1050">
        <v>0</v>
      </c>
      <c r="D297" s="1052">
        <f>[5]TB!$E$186</f>
        <v>39068.839999999997</v>
      </c>
      <c r="E297" s="1052">
        <v>58743.55</v>
      </c>
      <c r="F297" s="1052">
        <v>59263</v>
      </c>
      <c r="G297" s="1048">
        <v>54753</v>
      </c>
      <c r="H297" s="1051">
        <f t="shared" si="44"/>
        <v>54753</v>
      </c>
      <c r="I297" s="1048">
        <v>69079</v>
      </c>
      <c r="J297" s="1048">
        <v>73154.660999999993</v>
      </c>
      <c r="K297" s="1048">
        <v>77251.322015999991</v>
      </c>
      <c r="L297" s="208"/>
      <c r="M297" s="209"/>
      <c r="N297" s="209"/>
      <c r="O297" s="209"/>
      <c r="P297" s="209"/>
      <c r="Q297" s="209"/>
      <c r="R297" s="209"/>
      <c r="S297" s="209"/>
      <c r="T297" s="209"/>
      <c r="U297" s="209"/>
      <c r="V297" s="209"/>
      <c r="W297" s="209"/>
    </row>
    <row r="298" spans="1:23" ht="11.25" customHeight="1" x14ac:dyDescent="0.25">
      <c r="A298" s="1165" t="s">
        <v>2381</v>
      </c>
      <c r="B298" s="1041"/>
      <c r="C298" s="1050">
        <v>0</v>
      </c>
      <c r="D298" s="1052"/>
      <c r="E298" s="1052">
        <v>0</v>
      </c>
      <c r="F298" s="1052">
        <v>0</v>
      </c>
      <c r="G298" s="1048">
        <v>0</v>
      </c>
      <c r="H298" s="1051">
        <f t="shared" si="44"/>
        <v>0</v>
      </c>
      <c r="I298" s="1052"/>
      <c r="J298" s="1048">
        <f t="shared" si="45"/>
        <v>0</v>
      </c>
      <c r="K298" s="1048">
        <f t="shared" si="46"/>
        <v>0</v>
      </c>
      <c r="L298" s="208"/>
      <c r="M298" s="209"/>
      <c r="N298" s="209"/>
      <c r="O298" s="209"/>
      <c r="P298" s="209"/>
      <c r="Q298" s="209"/>
      <c r="R298" s="209"/>
      <c r="S298" s="209"/>
      <c r="T298" s="209"/>
      <c r="U298" s="209"/>
      <c r="V298" s="209"/>
      <c r="W298" s="209"/>
    </row>
    <row r="299" spans="1:23" ht="11.25" customHeight="1" x14ac:dyDescent="0.25">
      <c r="A299" s="1165" t="s">
        <v>2447</v>
      </c>
      <c r="B299" s="1041"/>
      <c r="C299" s="1050">
        <v>0</v>
      </c>
      <c r="D299" s="1052">
        <f>[5]TB!$E$189</f>
        <v>364000</v>
      </c>
      <c r="E299" s="1052">
        <v>516500</v>
      </c>
      <c r="F299" s="1052">
        <v>350500</v>
      </c>
      <c r="G299" s="1048">
        <v>350500</v>
      </c>
      <c r="H299" s="1051">
        <f t="shared" si="44"/>
        <v>350500</v>
      </c>
      <c r="I299" s="1048">
        <v>500000</v>
      </c>
      <c r="J299" s="1048">
        <v>529500</v>
      </c>
      <c r="K299" s="1048">
        <v>559152</v>
      </c>
      <c r="L299" s="208"/>
      <c r="M299" s="209"/>
      <c r="N299" s="209"/>
      <c r="O299" s="209"/>
      <c r="P299" s="209"/>
      <c r="Q299" s="209"/>
      <c r="R299" s="209"/>
      <c r="S299" s="209"/>
      <c r="T299" s="209"/>
      <c r="U299" s="209"/>
      <c r="V299" s="209"/>
      <c r="W299" s="209"/>
    </row>
    <row r="300" spans="1:23" ht="11.25" customHeight="1" x14ac:dyDescent="0.25">
      <c r="A300" s="1165" t="s">
        <v>2446</v>
      </c>
      <c r="B300" s="1041"/>
      <c r="C300" s="1050">
        <v>0</v>
      </c>
      <c r="D300" s="1052">
        <f>[5]TB!$E$190</f>
        <v>29250</v>
      </c>
      <c r="E300" s="1052">
        <v>20000</v>
      </c>
      <c r="F300" s="1052">
        <v>25500</v>
      </c>
      <c r="G300" s="1048">
        <v>45000</v>
      </c>
      <c r="H300" s="1051">
        <f t="shared" si="44"/>
        <v>45000</v>
      </c>
      <c r="I300" s="1048">
        <v>60000</v>
      </c>
      <c r="J300" s="1048">
        <v>63540</v>
      </c>
      <c r="K300" s="1048">
        <v>67098.240000000005</v>
      </c>
      <c r="L300" s="208"/>
      <c r="M300" s="209"/>
      <c r="N300" s="209"/>
      <c r="O300" s="209"/>
      <c r="P300" s="209"/>
      <c r="Q300" s="209"/>
      <c r="R300" s="209"/>
      <c r="S300" s="209"/>
      <c r="T300" s="209"/>
      <c r="U300" s="209"/>
      <c r="V300" s="209"/>
      <c r="W300" s="209"/>
    </row>
    <row r="301" spans="1:23" ht="11.25" customHeight="1" x14ac:dyDescent="0.25">
      <c r="A301" s="1165" t="s">
        <v>2459</v>
      </c>
      <c r="B301" s="1041"/>
      <c r="C301" s="1050">
        <v>0</v>
      </c>
      <c r="D301" s="1050">
        <v>0</v>
      </c>
      <c r="E301" s="1052">
        <v>0</v>
      </c>
      <c r="F301" s="1052">
        <v>0</v>
      </c>
      <c r="G301" s="1048">
        <v>0</v>
      </c>
      <c r="H301" s="1051">
        <f t="shared" si="44"/>
        <v>0</v>
      </c>
      <c r="I301" s="1051">
        <f>H301</f>
        <v>0</v>
      </c>
      <c r="J301" s="1048">
        <f t="shared" si="45"/>
        <v>0</v>
      </c>
      <c r="K301" s="1048">
        <f t="shared" si="46"/>
        <v>0</v>
      </c>
      <c r="L301" s="208"/>
      <c r="M301" s="209"/>
      <c r="N301" s="209"/>
      <c r="O301" s="209"/>
      <c r="P301" s="209"/>
      <c r="Q301" s="209"/>
      <c r="R301" s="209"/>
      <c r="S301" s="209"/>
      <c r="T301" s="209"/>
      <c r="U301" s="209"/>
      <c r="V301" s="209"/>
      <c r="W301" s="209"/>
    </row>
    <row r="302" spans="1:23" ht="11.25" customHeight="1" x14ac:dyDescent="0.25">
      <c r="A302" s="1165" t="s">
        <v>2385</v>
      </c>
      <c r="B302" s="1041"/>
      <c r="C302" s="1050">
        <v>0</v>
      </c>
      <c r="D302" s="1050">
        <v>0</v>
      </c>
      <c r="E302" s="1052">
        <v>0</v>
      </c>
      <c r="F302" s="1052">
        <v>0</v>
      </c>
      <c r="G302" s="1048">
        <v>0</v>
      </c>
      <c r="H302" s="1051">
        <f t="shared" si="44"/>
        <v>0</v>
      </c>
      <c r="I302" s="1051">
        <f>H302</f>
        <v>0</v>
      </c>
      <c r="J302" s="1048">
        <f t="shared" si="45"/>
        <v>0</v>
      </c>
      <c r="K302" s="1048">
        <f t="shared" si="46"/>
        <v>0</v>
      </c>
      <c r="L302" s="208"/>
      <c r="M302" s="209"/>
      <c r="N302" s="209"/>
      <c r="O302" s="209"/>
      <c r="P302" s="209"/>
      <c r="Q302" s="209"/>
      <c r="R302" s="209"/>
      <c r="S302" s="209"/>
      <c r="T302" s="209"/>
      <c r="U302" s="209"/>
      <c r="V302" s="209"/>
      <c r="W302" s="209"/>
    </row>
    <row r="303" spans="1:23" ht="11.25" customHeight="1" x14ac:dyDescent="0.25">
      <c r="A303" s="1165" t="s">
        <v>2386</v>
      </c>
      <c r="B303" s="1041"/>
      <c r="C303" s="1050">
        <v>0</v>
      </c>
      <c r="D303" s="1050">
        <v>0</v>
      </c>
      <c r="E303" s="1052">
        <v>0</v>
      </c>
      <c r="F303" s="1052">
        <v>0</v>
      </c>
      <c r="G303" s="1048">
        <v>0</v>
      </c>
      <c r="H303" s="1051">
        <f t="shared" si="44"/>
        <v>0</v>
      </c>
      <c r="I303" s="1051">
        <f>H303</f>
        <v>0</v>
      </c>
      <c r="J303" s="1048">
        <f t="shared" si="45"/>
        <v>0</v>
      </c>
      <c r="K303" s="1048">
        <f t="shared" si="46"/>
        <v>0</v>
      </c>
      <c r="L303" s="208"/>
      <c r="M303" s="209"/>
      <c r="N303" s="209"/>
      <c r="O303" s="209"/>
      <c r="P303" s="209"/>
      <c r="Q303" s="209"/>
      <c r="R303" s="209"/>
      <c r="S303" s="209"/>
      <c r="T303" s="209"/>
      <c r="U303" s="209"/>
      <c r="V303" s="209"/>
      <c r="W303" s="209"/>
    </row>
    <row r="304" spans="1:23" ht="11.25" customHeight="1" x14ac:dyDescent="0.25">
      <c r="A304" s="1165" t="s">
        <v>2387</v>
      </c>
      <c r="B304" s="1041"/>
      <c r="C304" s="1050">
        <v>0</v>
      </c>
      <c r="D304" s="1052">
        <f>[5]TB!$E$211</f>
        <v>657.89</v>
      </c>
      <c r="E304" s="1052">
        <v>47475</v>
      </c>
      <c r="F304" s="1052">
        <v>0</v>
      </c>
      <c r="G304" s="1048">
        <v>0</v>
      </c>
      <c r="H304" s="1051">
        <f t="shared" si="44"/>
        <v>0</v>
      </c>
      <c r="I304" s="1051">
        <f>H304</f>
        <v>0</v>
      </c>
      <c r="J304" s="1048">
        <f t="shared" si="45"/>
        <v>0</v>
      </c>
      <c r="K304" s="1048">
        <f t="shared" si="46"/>
        <v>0</v>
      </c>
      <c r="L304" s="208"/>
      <c r="M304" s="209"/>
      <c r="N304" s="209"/>
      <c r="O304" s="209"/>
      <c r="P304" s="209"/>
      <c r="Q304" s="209"/>
      <c r="R304" s="209"/>
      <c r="S304" s="209"/>
      <c r="T304" s="209"/>
      <c r="U304" s="209"/>
      <c r="V304" s="209"/>
      <c r="W304" s="209"/>
    </row>
    <row r="305" spans="1:23" ht="11.25" customHeight="1" x14ac:dyDescent="0.25">
      <c r="A305" s="1165" t="s">
        <v>2460</v>
      </c>
      <c r="B305" s="1041"/>
      <c r="C305" s="1050">
        <v>0</v>
      </c>
      <c r="D305" s="1052"/>
      <c r="E305" s="1052">
        <v>0</v>
      </c>
      <c r="F305" s="1052">
        <v>0</v>
      </c>
      <c r="G305" s="1048">
        <v>0</v>
      </c>
      <c r="H305" s="1051">
        <f t="shared" si="44"/>
        <v>0</v>
      </c>
      <c r="I305" s="1051">
        <f>H305</f>
        <v>0</v>
      </c>
      <c r="J305" s="1048">
        <f t="shared" si="45"/>
        <v>0</v>
      </c>
      <c r="K305" s="1048">
        <f t="shared" si="46"/>
        <v>0</v>
      </c>
      <c r="L305" s="208"/>
      <c r="M305" s="209"/>
      <c r="N305" s="209"/>
      <c r="O305" s="209"/>
      <c r="P305" s="209"/>
      <c r="Q305" s="209"/>
      <c r="R305" s="209"/>
      <c r="S305" s="209"/>
      <c r="T305" s="209"/>
      <c r="U305" s="209"/>
      <c r="V305" s="209"/>
      <c r="W305" s="209"/>
    </row>
    <row r="306" spans="1:23" ht="11.25" customHeight="1" x14ac:dyDescent="0.25">
      <c r="A306" s="1165" t="s">
        <v>2461</v>
      </c>
      <c r="B306" s="1041"/>
      <c r="C306" s="1050">
        <v>0</v>
      </c>
      <c r="D306" s="1052">
        <f>[5]TB!$E$212</f>
        <v>230636.54</v>
      </c>
      <c r="E306" s="1052">
        <v>171662.99</v>
      </c>
      <c r="F306" s="1052">
        <v>200000</v>
      </c>
      <c r="G306" s="1048">
        <f>F306</f>
        <v>200000</v>
      </c>
      <c r="H306" s="1051">
        <f t="shared" si="44"/>
        <v>200000</v>
      </c>
      <c r="I306" s="1048">
        <v>100000</v>
      </c>
      <c r="J306" s="1048">
        <f t="shared" si="45"/>
        <v>105900</v>
      </c>
      <c r="K306" s="1048">
        <f t="shared" si="46"/>
        <v>111830.40000000001</v>
      </c>
      <c r="L306" s="208"/>
      <c r="M306" s="209"/>
      <c r="N306" s="209"/>
      <c r="O306" s="209"/>
      <c r="P306" s="209"/>
      <c r="Q306" s="209"/>
      <c r="R306" s="209"/>
      <c r="S306" s="209"/>
      <c r="T306" s="209"/>
      <c r="U306" s="209"/>
      <c r="V306" s="209"/>
      <c r="W306" s="209"/>
    </row>
    <row r="307" spans="1:23" ht="11.25" customHeight="1" x14ac:dyDescent="0.25">
      <c r="A307" s="1165" t="s">
        <v>2390</v>
      </c>
      <c r="B307" s="1041"/>
      <c r="C307" s="1050">
        <v>0</v>
      </c>
      <c r="D307" s="1052">
        <f>[5]TB!$E$213</f>
        <v>164488.26999999999</v>
      </c>
      <c r="E307" s="1052">
        <v>186870.57</v>
      </c>
      <c r="F307" s="1052">
        <v>300000</v>
      </c>
      <c r="G307" s="1048">
        <f>F307+-63266.62</f>
        <v>236733.38</v>
      </c>
      <c r="H307" s="1051">
        <f t="shared" si="44"/>
        <v>236733.38</v>
      </c>
      <c r="I307" s="1052"/>
      <c r="J307" s="1048">
        <f t="shared" si="45"/>
        <v>0</v>
      </c>
      <c r="K307" s="1048">
        <f t="shared" si="46"/>
        <v>0</v>
      </c>
      <c r="L307" s="208"/>
      <c r="M307" s="209"/>
      <c r="N307" s="209"/>
      <c r="O307" s="209"/>
      <c r="P307" s="209"/>
      <c r="Q307" s="209"/>
      <c r="R307" s="209"/>
      <c r="S307" s="209"/>
      <c r="T307" s="209"/>
      <c r="U307" s="209"/>
      <c r="V307" s="209"/>
      <c r="W307" s="209"/>
    </row>
    <row r="308" spans="1:23" ht="11.25" customHeight="1" x14ac:dyDescent="0.25">
      <c r="A308" s="1165" t="s">
        <v>2392</v>
      </c>
      <c r="B308" s="1041"/>
      <c r="C308" s="1050">
        <v>0</v>
      </c>
      <c r="D308" s="1052"/>
      <c r="E308" s="1052">
        <v>0</v>
      </c>
      <c r="F308" s="1052">
        <v>0</v>
      </c>
      <c r="G308" s="1048">
        <v>0</v>
      </c>
      <c r="H308" s="1051">
        <f t="shared" si="44"/>
        <v>0</v>
      </c>
      <c r="I308" s="1052"/>
      <c r="J308" s="1048">
        <f t="shared" si="45"/>
        <v>0</v>
      </c>
      <c r="K308" s="1048">
        <f t="shared" si="46"/>
        <v>0</v>
      </c>
      <c r="L308" s="208"/>
      <c r="M308" s="209"/>
      <c r="N308" s="209"/>
      <c r="O308" s="209"/>
      <c r="P308" s="209"/>
      <c r="Q308" s="209"/>
      <c r="R308" s="209"/>
      <c r="S308" s="209"/>
      <c r="T308" s="209"/>
      <c r="U308" s="209"/>
      <c r="V308" s="209"/>
      <c r="W308" s="209"/>
    </row>
    <row r="309" spans="1:23" ht="11.25" customHeight="1" x14ac:dyDescent="0.25">
      <c r="A309" s="1165" t="s">
        <v>2391</v>
      </c>
      <c r="B309" s="1041"/>
      <c r="C309" s="1050">
        <v>0</v>
      </c>
      <c r="D309" s="1052">
        <f>[5]TB!$E$191</f>
        <v>60820.82</v>
      </c>
      <c r="E309" s="1052">
        <v>88769.79</v>
      </c>
      <c r="F309" s="1052">
        <v>63821</v>
      </c>
      <c r="G309" s="1048">
        <v>63821</v>
      </c>
      <c r="H309" s="1051">
        <f t="shared" si="44"/>
        <v>63821</v>
      </c>
      <c r="I309" s="1048">
        <v>67523</v>
      </c>
      <c r="J309" s="1048">
        <v>71506.856999999989</v>
      </c>
      <c r="K309" s="1048">
        <v>75511.240991999992</v>
      </c>
      <c r="L309" s="208"/>
      <c r="M309" s="209"/>
      <c r="N309" s="209"/>
      <c r="O309" s="209"/>
      <c r="P309" s="209"/>
      <c r="Q309" s="209"/>
      <c r="R309" s="209"/>
      <c r="S309" s="209"/>
      <c r="T309" s="209"/>
      <c r="U309" s="209"/>
      <c r="V309" s="209"/>
      <c r="W309" s="209"/>
    </row>
    <row r="310" spans="1:23" ht="11.25" customHeight="1" x14ac:dyDescent="0.25">
      <c r="A310" s="1165" t="s">
        <v>2462</v>
      </c>
      <c r="B310" s="1041"/>
      <c r="C310" s="1050">
        <v>0</v>
      </c>
      <c r="D310" s="1052"/>
      <c r="E310" s="1052">
        <v>0</v>
      </c>
      <c r="F310" s="1052">
        <v>0</v>
      </c>
      <c r="G310" s="1048">
        <v>0</v>
      </c>
      <c r="H310" s="1051">
        <f t="shared" si="44"/>
        <v>0</v>
      </c>
      <c r="I310" s="1051">
        <f>H310</f>
        <v>0</v>
      </c>
      <c r="J310" s="1048">
        <f t="shared" si="45"/>
        <v>0</v>
      </c>
      <c r="K310" s="1048">
        <f t="shared" si="46"/>
        <v>0</v>
      </c>
      <c r="L310" s="208"/>
      <c r="M310" s="209"/>
      <c r="N310" s="209"/>
      <c r="O310" s="209"/>
      <c r="P310" s="209"/>
      <c r="Q310" s="209"/>
      <c r="R310" s="209"/>
      <c r="S310" s="209"/>
      <c r="T310" s="209"/>
      <c r="U310" s="209"/>
      <c r="V310" s="209"/>
      <c r="W310" s="209"/>
    </row>
    <row r="311" spans="1:23" ht="11.25" customHeight="1" x14ac:dyDescent="0.25">
      <c r="A311" s="1165" t="s">
        <v>2463</v>
      </c>
      <c r="B311" s="1041"/>
      <c r="C311" s="1050">
        <v>0</v>
      </c>
      <c r="D311" s="1052"/>
      <c r="E311" s="1052">
        <v>0</v>
      </c>
      <c r="F311" s="1052">
        <v>0</v>
      </c>
      <c r="G311" s="1048">
        <v>0</v>
      </c>
      <c r="H311" s="1051">
        <f t="shared" si="44"/>
        <v>0</v>
      </c>
      <c r="I311" s="1051">
        <f>H311</f>
        <v>0</v>
      </c>
      <c r="J311" s="1048">
        <f t="shared" si="45"/>
        <v>0</v>
      </c>
      <c r="K311" s="1048">
        <f t="shared" si="46"/>
        <v>0</v>
      </c>
      <c r="L311" s="208"/>
      <c r="M311" s="209"/>
      <c r="N311" s="209"/>
      <c r="O311" s="209"/>
      <c r="P311" s="209"/>
      <c r="Q311" s="209"/>
      <c r="R311" s="209"/>
      <c r="S311" s="209"/>
      <c r="T311" s="209"/>
      <c r="U311" s="209"/>
      <c r="V311" s="209"/>
      <c r="W311" s="209"/>
    </row>
    <row r="312" spans="1:23" ht="11.25" customHeight="1" x14ac:dyDescent="0.25">
      <c r="A312" s="1165" t="s">
        <v>2400</v>
      </c>
      <c r="B312" s="1041"/>
      <c r="C312" s="1050">
        <v>0</v>
      </c>
      <c r="D312" s="1052">
        <f>[5]TB!$E$214</f>
        <v>2208.36</v>
      </c>
      <c r="E312" s="1052">
        <v>2715.77</v>
      </c>
      <c r="F312" s="1052">
        <v>0</v>
      </c>
      <c r="G312" s="1048">
        <v>0</v>
      </c>
      <c r="H312" s="1051">
        <f t="shared" si="44"/>
        <v>0</v>
      </c>
      <c r="I312" s="1051">
        <f>H312</f>
        <v>0</v>
      </c>
      <c r="J312" s="1048">
        <f t="shared" si="45"/>
        <v>0</v>
      </c>
      <c r="K312" s="1048">
        <f t="shared" si="46"/>
        <v>0</v>
      </c>
      <c r="L312" s="208"/>
      <c r="M312" s="209"/>
      <c r="N312" s="209"/>
      <c r="O312" s="209"/>
      <c r="P312" s="209"/>
      <c r="Q312" s="209"/>
      <c r="R312" s="209"/>
      <c r="S312" s="209"/>
      <c r="T312" s="209"/>
      <c r="U312" s="209"/>
      <c r="V312" s="209"/>
      <c r="W312" s="209"/>
    </row>
    <row r="313" spans="1:23" ht="11.25" customHeight="1" x14ac:dyDescent="0.25">
      <c r="A313" s="1165" t="s">
        <v>2464</v>
      </c>
      <c r="B313" s="1041"/>
      <c r="C313" s="1050">
        <v>0</v>
      </c>
      <c r="D313" s="1052"/>
      <c r="E313" s="1052">
        <v>0</v>
      </c>
      <c r="F313" s="1052">
        <v>0</v>
      </c>
      <c r="G313" s="1048">
        <v>0</v>
      </c>
      <c r="H313" s="1051">
        <f t="shared" si="44"/>
        <v>0</v>
      </c>
      <c r="I313" s="1051">
        <f>H313</f>
        <v>0</v>
      </c>
      <c r="J313" s="1048">
        <f t="shared" si="45"/>
        <v>0</v>
      </c>
      <c r="K313" s="1048">
        <f t="shared" si="46"/>
        <v>0</v>
      </c>
      <c r="L313" s="208"/>
      <c r="M313" s="209"/>
      <c r="N313" s="209"/>
      <c r="O313" s="209"/>
      <c r="P313" s="209"/>
      <c r="Q313" s="209"/>
      <c r="R313" s="209"/>
      <c r="S313" s="209"/>
      <c r="T313" s="209"/>
      <c r="U313" s="209"/>
      <c r="V313" s="209"/>
      <c r="W313" s="209"/>
    </row>
    <row r="314" spans="1:23" ht="11.25" customHeight="1" x14ac:dyDescent="0.25">
      <c r="A314" s="1165" t="s">
        <v>2465</v>
      </c>
      <c r="B314" s="1041"/>
      <c r="C314" s="1050">
        <v>0</v>
      </c>
      <c r="D314" s="1052">
        <f>[5]TB!$E$215</f>
        <v>1368668.95</v>
      </c>
      <c r="E314" s="1052"/>
      <c r="F314" s="1052">
        <v>0</v>
      </c>
      <c r="G314" s="1048">
        <v>0</v>
      </c>
      <c r="H314" s="1051">
        <f t="shared" si="44"/>
        <v>0</v>
      </c>
      <c r="I314" s="1051">
        <f>H314</f>
        <v>0</v>
      </c>
      <c r="J314" s="1048">
        <f t="shared" si="45"/>
        <v>0</v>
      </c>
      <c r="K314" s="1048">
        <f t="shared" si="46"/>
        <v>0</v>
      </c>
      <c r="L314" s="208"/>
      <c r="M314" s="209"/>
      <c r="N314" s="209"/>
      <c r="O314" s="209"/>
      <c r="P314" s="209"/>
      <c r="Q314" s="209"/>
      <c r="R314" s="209"/>
      <c r="S314" s="209"/>
      <c r="T314" s="209"/>
      <c r="U314" s="209"/>
      <c r="V314" s="209"/>
      <c r="W314" s="209"/>
    </row>
    <row r="315" spans="1:23" ht="11.25" customHeight="1" x14ac:dyDescent="0.25">
      <c r="A315" s="1165" t="s">
        <v>2466</v>
      </c>
      <c r="B315" s="1041"/>
      <c r="C315" s="1050">
        <v>0</v>
      </c>
      <c r="D315" s="1052"/>
      <c r="E315" s="1052"/>
      <c r="F315" s="1052">
        <v>0</v>
      </c>
      <c r="G315" s="1048">
        <v>0</v>
      </c>
      <c r="H315" s="1051">
        <f t="shared" si="44"/>
        <v>0</v>
      </c>
      <c r="I315" s="1052">
        <v>0</v>
      </c>
      <c r="J315" s="1048">
        <f t="shared" si="45"/>
        <v>0</v>
      </c>
      <c r="K315" s="1048">
        <f t="shared" si="46"/>
        <v>0</v>
      </c>
      <c r="L315" s="208"/>
      <c r="M315" s="209"/>
      <c r="N315" s="209"/>
      <c r="O315" s="209"/>
      <c r="P315" s="209"/>
      <c r="Q315" s="209"/>
      <c r="R315" s="209"/>
      <c r="S315" s="209"/>
      <c r="T315" s="209"/>
      <c r="U315" s="209"/>
      <c r="V315" s="209"/>
      <c r="W315" s="209"/>
    </row>
    <row r="316" spans="1:23" ht="11.25" customHeight="1" x14ac:dyDescent="0.25">
      <c r="A316" s="1165" t="s">
        <v>2467</v>
      </c>
      <c r="B316" s="1041"/>
      <c r="C316" s="1050">
        <v>0</v>
      </c>
      <c r="D316" s="1052">
        <f>[5]TB!$E$216</f>
        <v>952428.58</v>
      </c>
      <c r="E316" s="1052">
        <v>208171.38</v>
      </c>
      <c r="F316" s="1052">
        <v>350000</v>
      </c>
      <c r="G316" s="1048">
        <v>235392.25</v>
      </c>
      <c r="H316" s="1051">
        <f t="shared" si="44"/>
        <v>235392.25</v>
      </c>
      <c r="I316" s="1052">
        <v>0</v>
      </c>
      <c r="J316" s="1048">
        <f t="shared" si="45"/>
        <v>0</v>
      </c>
      <c r="K316" s="1048">
        <f t="shared" si="46"/>
        <v>0</v>
      </c>
      <c r="L316" s="208"/>
      <c r="M316" s="209"/>
      <c r="N316" s="209"/>
      <c r="O316" s="209"/>
      <c r="P316" s="209"/>
      <c r="Q316" s="209"/>
      <c r="R316" s="209"/>
      <c r="S316" s="209"/>
      <c r="T316" s="209"/>
      <c r="U316" s="209"/>
      <c r="V316" s="209"/>
      <c r="W316" s="209"/>
    </row>
    <row r="317" spans="1:23" ht="11.25" customHeight="1" x14ac:dyDescent="0.25">
      <c r="A317" s="1165" t="s">
        <v>2468</v>
      </c>
      <c r="B317" s="1041"/>
      <c r="C317" s="1050">
        <v>0</v>
      </c>
      <c r="D317" s="1052"/>
      <c r="E317" s="1052">
        <v>250000</v>
      </c>
      <c r="F317" s="1052"/>
      <c r="G317" s="1048">
        <v>0</v>
      </c>
      <c r="H317" s="1051">
        <f t="shared" si="44"/>
        <v>0</v>
      </c>
      <c r="I317" s="1052">
        <v>0</v>
      </c>
      <c r="J317" s="1048">
        <f t="shared" si="45"/>
        <v>0</v>
      </c>
      <c r="K317" s="1048">
        <f t="shared" si="46"/>
        <v>0</v>
      </c>
      <c r="L317" s="208"/>
      <c r="M317" s="209"/>
      <c r="N317" s="209"/>
      <c r="O317" s="209"/>
      <c r="P317" s="209"/>
      <c r="Q317" s="209"/>
      <c r="R317" s="209"/>
      <c r="S317" s="209"/>
      <c r="T317" s="209"/>
      <c r="U317" s="209"/>
      <c r="V317" s="209"/>
      <c r="W317" s="209"/>
    </row>
    <row r="318" spans="1:23" ht="11.25" customHeight="1" x14ac:dyDescent="0.25">
      <c r="A318" s="1165" t="s">
        <v>2696</v>
      </c>
      <c r="B318" s="1041"/>
      <c r="C318" s="1050">
        <v>0</v>
      </c>
      <c r="D318" s="1052">
        <f>[5]TB!$E$218</f>
        <v>75595.850000000006</v>
      </c>
      <c r="E318" s="1052">
        <v>50610.66</v>
      </c>
      <c r="F318" s="1052">
        <v>0</v>
      </c>
      <c r="G318" s="1048">
        <v>11536.5</v>
      </c>
      <c r="H318" s="1051">
        <f t="shared" si="44"/>
        <v>11536.5</v>
      </c>
      <c r="I318" s="1052">
        <v>0</v>
      </c>
      <c r="J318" s="1048">
        <f t="shared" si="45"/>
        <v>0</v>
      </c>
      <c r="K318" s="1048">
        <f t="shared" si="46"/>
        <v>0</v>
      </c>
      <c r="L318" s="208"/>
      <c r="M318" s="209"/>
      <c r="N318" s="209"/>
      <c r="O318" s="209"/>
      <c r="P318" s="209"/>
      <c r="Q318" s="209"/>
      <c r="R318" s="209"/>
      <c r="S318" s="209"/>
      <c r="T318" s="209"/>
      <c r="U318" s="209"/>
      <c r="V318" s="209"/>
      <c r="W318" s="209"/>
    </row>
    <row r="319" spans="1:23" ht="11.25" customHeight="1" x14ac:dyDescent="0.25">
      <c r="A319" s="1165" t="s">
        <v>2411</v>
      </c>
      <c r="B319" s="1041"/>
      <c r="C319" s="1050">
        <v>0</v>
      </c>
      <c r="D319" s="1052">
        <f>[5]TB!$E$217</f>
        <v>143694.51</v>
      </c>
      <c r="E319" s="1052">
        <v>89385.02</v>
      </c>
      <c r="F319" s="1052">
        <v>0</v>
      </c>
      <c r="G319" s="1048">
        <v>0</v>
      </c>
      <c r="H319" s="1051">
        <f t="shared" si="44"/>
        <v>0</v>
      </c>
      <c r="I319" s="1052">
        <v>0</v>
      </c>
      <c r="J319" s="1048">
        <f t="shared" si="45"/>
        <v>0</v>
      </c>
      <c r="K319" s="1048">
        <f t="shared" si="46"/>
        <v>0</v>
      </c>
      <c r="L319" s="208"/>
      <c r="M319" s="209"/>
      <c r="N319" s="209"/>
      <c r="O319" s="209"/>
      <c r="P319" s="209"/>
      <c r="Q319" s="209"/>
      <c r="R319" s="209"/>
      <c r="S319" s="209"/>
      <c r="T319" s="209"/>
      <c r="U319" s="209"/>
      <c r="V319" s="209"/>
      <c r="W319" s="209"/>
    </row>
    <row r="320" spans="1:23" ht="11.25" customHeight="1" x14ac:dyDescent="0.25">
      <c r="A320" s="1165" t="s">
        <v>2469</v>
      </c>
      <c r="B320" s="1041"/>
      <c r="C320" s="1050">
        <v>0</v>
      </c>
      <c r="D320" s="1052"/>
      <c r="E320" s="1052">
        <v>0</v>
      </c>
      <c r="F320" s="1052">
        <v>0</v>
      </c>
      <c r="G320" s="1048">
        <v>0</v>
      </c>
      <c r="H320" s="1051">
        <f t="shared" ref="H320:H343" si="47">G320</f>
        <v>0</v>
      </c>
      <c r="I320" s="1052">
        <v>0</v>
      </c>
      <c r="J320" s="1048">
        <f t="shared" si="45"/>
        <v>0</v>
      </c>
      <c r="K320" s="1048">
        <f t="shared" si="46"/>
        <v>0</v>
      </c>
      <c r="L320" s="208"/>
      <c r="M320" s="209"/>
      <c r="N320" s="209"/>
      <c r="O320" s="209"/>
      <c r="P320" s="209"/>
      <c r="Q320" s="209"/>
      <c r="R320" s="209"/>
      <c r="S320" s="209"/>
      <c r="T320" s="209"/>
      <c r="U320" s="209"/>
      <c r="V320" s="209"/>
      <c r="W320" s="209"/>
    </row>
    <row r="321" spans="1:23" ht="11.25" customHeight="1" x14ac:dyDescent="0.25">
      <c r="A321" s="1165" t="s">
        <v>2415</v>
      </c>
      <c r="B321" s="1041"/>
      <c r="C321" s="1050">
        <v>0</v>
      </c>
      <c r="D321" s="1052"/>
      <c r="E321" s="1052">
        <v>0</v>
      </c>
      <c r="F321" s="1052">
        <v>0</v>
      </c>
      <c r="G321" s="1048">
        <v>0</v>
      </c>
      <c r="H321" s="1051">
        <f t="shared" si="47"/>
        <v>0</v>
      </c>
      <c r="I321" s="1052">
        <v>0</v>
      </c>
      <c r="J321" s="1048">
        <f t="shared" si="45"/>
        <v>0</v>
      </c>
      <c r="K321" s="1048">
        <f t="shared" si="46"/>
        <v>0</v>
      </c>
      <c r="L321" s="208"/>
      <c r="M321" s="209"/>
      <c r="N321" s="209"/>
      <c r="O321" s="209"/>
      <c r="P321" s="209"/>
      <c r="Q321" s="209"/>
      <c r="R321" s="209"/>
      <c r="S321" s="209"/>
      <c r="T321" s="209"/>
      <c r="U321" s="209"/>
      <c r="V321" s="209"/>
      <c r="W321" s="209"/>
    </row>
    <row r="322" spans="1:23" ht="11.25" customHeight="1" x14ac:dyDescent="0.25">
      <c r="A322" s="1165" t="s">
        <v>2438</v>
      </c>
      <c r="B322" s="1041"/>
      <c r="C322" s="1050">
        <v>0</v>
      </c>
      <c r="D322" s="1052">
        <f>[5]TB!$E$219</f>
        <v>79119.509999999995</v>
      </c>
      <c r="E322" s="1052">
        <v>72020</v>
      </c>
      <c r="F322" s="1052">
        <v>50000</v>
      </c>
      <c r="G322" s="1048">
        <v>45334.770000000004</v>
      </c>
      <c r="H322" s="1051">
        <f t="shared" si="47"/>
        <v>45334.770000000004</v>
      </c>
      <c r="I322" s="1052">
        <v>0</v>
      </c>
      <c r="J322" s="1048">
        <f t="shared" si="45"/>
        <v>0</v>
      </c>
      <c r="K322" s="1048">
        <f t="shared" si="46"/>
        <v>0</v>
      </c>
      <c r="L322" s="208"/>
      <c r="M322" s="209"/>
      <c r="N322" s="209"/>
      <c r="O322" s="209"/>
      <c r="P322" s="209"/>
      <c r="Q322" s="209"/>
      <c r="R322" s="209"/>
      <c r="S322" s="209"/>
      <c r="T322" s="209"/>
      <c r="U322" s="209"/>
      <c r="V322" s="209"/>
      <c r="W322" s="209"/>
    </row>
    <row r="323" spans="1:23" ht="11.25" customHeight="1" x14ac:dyDescent="0.25">
      <c r="A323" s="1165" t="s">
        <v>2470</v>
      </c>
      <c r="B323" s="1041"/>
      <c r="C323" s="1050">
        <v>0</v>
      </c>
      <c r="D323" s="1052">
        <f>[5]TB!$E$179</f>
        <v>250000</v>
      </c>
      <c r="E323" s="1052">
        <v>381386.25</v>
      </c>
      <c r="F323" s="1052">
        <v>600000</v>
      </c>
      <c r="G323" s="1048">
        <f>F323+-240000</f>
        <v>360000</v>
      </c>
      <c r="H323" s="1051">
        <f t="shared" si="47"/>
        <v>360000</v>
      </c>
      <c r="I323" s="1048">
        <v>600000</v>
      </c>
      <c r="J323" s="1048">
        <f t="shared" si="45"/>
        <v>635400</v>
      </c>
      <c r="K323" s="1048">
        <f t="shared" si="46"/>
        <v>670982.40000000002</v>
      </c>
      <c r="L323" s="208"/>
      <c r="M323" s="209"/>
      <c r="N323" s="209"/>
      <c r="O323" s="209"/>
      <c r="P323" s="209"/>
      <c r="Q323" s="209"/>
      <c r="R323" s="209"/>
      <c r="S323" s="209"/>
      <c r="T323" s="209"/>
      <c r="U323" s="209"/>
      <c r="V323" s="209"/>
      <c r="W323" s="209"/>
    </row>
    <row r="324" spans="1:23" ht="11.25" customHeight="1" x14ac:dyDescent="0.25">
      <c r="A324" s="1165" t="s">
        <v>2471</v>
      </c>
      <c r="B324" s="1041"/>
      <c r="C324" s="1050">
        <v>0</v>
      </c>
      <c r="D324" s="1052">
        <f>[5]TB!$E$220</f>
        <v>117875</v>
      </c>
      <c r="E324" s="1052">
        <v>4541.76</v>
      </c>
      <c r="F324" s="1052">
        <v>0</v>
      </c>
      <c r="G324" s="1048">
        <v>0</v>
      </c>
      <c r="H324" s="1051">
        <f t="shared" si="47"/>
        <v>0</v>
      </c>
      <c r="I324" s="1052"/>
      <c r="J324" s="1048">
        <f t="shared" si="45"/>
        <v>0</v>
      </c>
      <c r="K324" s="1048">
        <f t="shared" si="46"/>
        <v>0</v>
      </c>
      <c r="L324" s="208"/>
      <c r="M324" s="209"/>
      <c r="N324" s="209"/>
      <c r="O324" s="209"/>
      <c r="P324" s="209"/>
      <c r="Q324" s="209"/>
      <c r="R324" s="209"/>
      <c r="S324" s="209"/>
      <c r="T324" s="209"/>
      <c r="U324" s="209"/>
      <c r="V324" s="209"/>
      <c r="W324" s="209"/>
    </row>
    <row r="325" spans="1:23" ht="11.25" customHeight="1" x14ac:dyDescent="0.25">
      <c r="A325" s="1165" t="s">
        <v>2472</v>
      </c>
      <c r="B325" s="1041"/>
      <c r="C325" s="1050">
        <v>0</v>
      </c>
      <c r="D325" s="1052">
        <v>0</v>
      </c>
      <c r="E325" s="1052">
        <v>722414.07999999996</v>
      </c>
      <c r="F325" s="1052">
        <v>0</v>
      </c>
      <c r="G325" s="1048">
        <v>0</v>
      </c>
      <c r="H325" s="1051">
        <f t="shared" si="47"/>
        <v>0</v>
      </c>
      <c r="I325" s="1048">
        <v>930000</v>
      </c>
      <c r="J325" s="1048">
        <f t="shared" si="45"/>
        <v>984870</v>
      </c>
      <c r="K325" s="1048">
        <f t="shared" si="46"/>
        <v>1040022.7200000001</v>
      </c>
      <c r="L325" s="208"/>
      <c r="M325" s="209"/>
      <c r="N325" s="209"/>
      <c r="O325" s="209"/>
      <c r="P325" s="209"/>
      <c r="Q325" s="209"/>
      <c r="R325" s="209"/>
      <c r="S325" s="209"/>
      <c r="T325" s="209"/>
      <c r="U325" s="209"/>
      <c r="V325" s="209"/>
      <c r="W325" s="209"/>
    </row>
    <row r="326" spans="1:23" ht="11.25" customHeight="1" x14ac:dyDescent="0.25">
      <c r="A326" s="1165" t="s">
        <v>2473</v>
      </c>
      <c r="B326" s="1041"/>
      <c r="C326" s="1050">
        <v>0</v>
      </c>
      <c r="D326" s="1052">
        <f>[5]TB!$E$224</f>
        <v>230000</v>
      </c>
      <c r="E326" s="1052">
        <v>50089.88</v>
      </c>
      <c r="F326" s="1052">
        <v>0</v>
      </c>
      <c r="G326" s="1048">
        <v>0</v>
      </c>
      <c r="H326" s="1051">
        <f t="shared" si="47"/>
        <v>0</v>
      </c>
      <c r="I326" s="1052"/>
      <c r="J326" s="1048">
        <f t="shared" si="45"/>
        <v>0</v>
      </c>
      <c r="K326" s="1048">
        <f t="shared" si="46"/>
        <v>0</v>
      </c>
      <c r="L326" s="208"/>
      <c r="M326" s="209"/>
      <c r="N326" s="209"/>
      <c r="O326" s="209"/>
      <c r="P326" s="209"/>
      <c r="Q326" s="209"/>
      <c r="R326" s="209"/>
      <c r="S326" s="209"/>
      <c r="T326" s="209"/>
      <c r="U326" s="209"/>
      <c r="V326" s="209"/>
      <c r="W326" s="209"/>
    </row>
    <row r="327" spans="1:23" ht="11.25" customHeight="1" x14ac:dyDescent="0.25">
      <c r="A327" s="1165" t="s">
        <v>2474</v>
      </c>
      <c r="B327" s="1041"/>
      <c r="C327" s="1050">
        <v>0</v>
      </c>
      <c r="D327" s="1052"/>
      <c r="E327" s="1052">
        <v>0</v>
      </c>
      <c r="F327" s="1052">
        <v>0</v>
      </c>
      <c r="G327" s="1048">
        <v>0</v>
      </c>
      <c r="H327" s="1051">
        <f t="shared" si="47"/>
        <v>0</v>
      </c>
      <c r="I327" s="1052"/>
      <c r="J327" s="1048">
        <f t="shared" si="45"/>
        <v>0</v>
      </c>
      <c r="K327" s="1048">
        <f t="shared" si="46"/>
        <v>0</v>
      </c>
      <c r="L327" s="208"/>
      <c r="M327" s="209"/>
      <c r="N327" s="209"/>
      <c r="O327" s="209"/>
      <c r="P327" s="209"/>
      <c r="Q327" s="209"/>
      <c r="R327" s="209"/>
      <c r="S327" s="209"/>
      <c r="T327" s="209"/>
      <c r="U327" s="209"/>
      <c r="V327" s="209"/>
      <c r="W327" s="209"/>
    </row>
    <row r="328" spans="1:23" ht="11.25" customHeight="1" x14ac:dyDescent="0.25">
      <c r="A328" s="1165" t="s">
        <v>2419</v>
      </c>
      <c r="B328" s="1041"/>
      <c r="C328" s="1050">
        <v>0</v>
      </c>
      <c r="D328" s="1052">
        <f>[5]TB!$E$204</f>
        <v>111036.87</v>
      </c>
      <c r="E328" s="1052">
        <v>3419298.24</v>
      </c>
      <c r="F328" s="1052">
        <v>0</v>
      </c>
      <c r="G328" s="1048">
        <v>0</v>
      </c>
      <c r="H328" s="1051">
        <f t="shared" si="47"/>
        <v>0</v>
      </c>
      <c r="I328" s="1048">
        <v>500000</v>
      </c>
      <c r="J328" s="1048">
        <v>529500</v>
      </c>
      <c r="K328" s="1048">
        <v>559152</v>
      </c>
      <c r="L328" s="208"/>
      <c r="M328" s="209"/>
      <c r="N328" s="209"/>
      <c r="O328" s="209"/>
      <c r="P328" s="209"/>
      <c r="Q328" s="209"/>
      <c r="R328" s="209"/>
      <c r="S328" s="209"/>
      <c r="T328" s="209"/>
      <c r="U328" s="209"/>
      <c r="V328" s="209"/>
      <c r="W328" s="209"/>
    </row>
    <row r="329" spans="1:23" ht="11.25" customHeight="1" x14ac:dyDescent="0.25">
      <c r="A329" s="1165" t="s">
        <v>2475</v>
      </c>
      <c r="B329" s="1041"/>
      <c r="C329" s="1050">
        <v>0</v>
      </c>
      <c r="D329" s="1052"/>
      <c r="E329" s="1052">
        <v>840000</v>
      </c>
      <c r="F329" s="1052">
        <v>1000000</v>
      </c>
      <c r="G329" s="1048">
        <v>1240000</v>
      </c>
      <c r="H329" s="1051">
        <f t="shared" si="47"/>
        <v>1240000</v>
      </c>
      <c r="I329" s="1048">
        <v>1000000</v>
      </c>
      <c r="J329" s="1048">
        <f t="shared" si="45"/>
        <v>1059000</v>
      </c>
      <c r="K329" s="1048">
        <f t="shared" si="46"/>
        <v>1118304</v>
      </c>
      <c r="L329" s="208"/>
      <c r="M329" s="209"/>
      <c r="N329" s="209"/>
      <c r="O329" s="209"/>
      <c r="P329" s="209"/>
      <c r="Q329" s="209"/>
      <c r="R329" s="209"/>
      <c r="S329" s="209"/>
      <c r="T329" s="209"/>
      <c r="U329" s="209"/>
      <c r="V329" s="209"/>
      <c r="W329" s="209"/>
    </row>
    <row r="330" spans="1:23" ht="11.25" customHeight="1" x14ac:dyDescent="0.25">
      <c r="A330" s="1165" t="s">
        <v>2476</v>
      </c>
      <c r="B330" s="1041"/>
      <c r="C330" s="1050">
        <v>0</v>
      </c>
      <c r="D330" s="1052"/>
      <c r="E330" s="1052">
        <v>0</v>
      </c>
      <c r="F330" s="1052"/>
      <c r="G330" s="1048">
        <v>0</v>
      </c>
      <c r="H330" s="1051">
        <f t="shared" si="47"/>
        <v>0</v>
      </c>
      <c r="I330" s="1052">
        <v>1700000</v>
      </c>
      <c r="J330" s="1048">
        <f t="shared" si="45"/>
        <v>1800300</v>
      </c>
      <c r="K330" s="1048">
        <f t="shared" si="46"/>
        <v>1901116.8</v>
      </c>
      <c r="L330" s="208"/>
      <c r="M330" s="209"/>
      <c r="N330" s="209"/>
      <c r="O330" s="209"/>
      <c r="P330" s="209"/>
      <c r="Q330" s="209"/>
      <c r="R330" s="209"/>
      <c r="S330" s="209"/>
      <c r="T330" s="209"/>
      <c r="U330" s="209"/>
      <c r="V330" s="209"/>
      <c r="W330" s="209"/>
    </row>
    <row r="331" spans="1:23" ht="11.25" customHeight="1" x14ac:dyDescent="0.25">
      <c r="A331" s="1165" t="s">
        <v>2477</v>
      </c>
      <c r="B331" s="1041"/>
      <c r="C331" s="1050">
        <v>0</v>
      </c>
      <c r="D331" s="1052">
        <f>[5]TB!$E$225</f>
        <v>50000</v>
      </c>
      <c r="E331" s="1052">
        <v>270000</v>
      </c>
      <c r="F331" s="1052"/>
      <c r="G331" s="1048">
        <v>0</v>
      </c>
      <c r="H331" s="1051">
        <f t="shared" si="47"/>
        <v>0</v>
      </c>
      <c r="I331" s="1052"/>
      <c r="J331" s="1048">
        <f t="shared" si="45"/>
        <v>0</v>
      </c>
      <c r="K331" s="1048">
        <f t="shared" si="46"/>
        <v>0</v>
      </c>
      <c r="L331" s="208"/>
      <c r="M331" s="209"/>
      <c r="N331" s="209"/>
      <c r="O331" s="209"/>
      <c r="P331" s="209"/>
      <c r="Q331" s="209"/>
      <c r="R331" s="209"/>
      <c r="S331" s="209"/>
      <c r="T331" s="209"/>
      <c r="U331" s="209"/>
      <c r="V331" s="209"/>
      <c r="W331" s="209"/>
    </row>
    <row r="332" spans="1:23" ht="11.25" customHeight="1" x14ac:dyDescent="0.25">
      <c r="A332" s="1165" t="s">
        <v>2478</v>
      </c>
      <c r="B332" s="1041"/>
      <c r="C332" s="1050">
        <v>0</v>
      </c>
      <c r="D332" s="1052">
        <f>[5]TB!$E$223</f>
        <v>100000</v>
      </c>
      <c r="E332" s="1052">
        <v>300000</v>
      </c>
      <c r="F332" s="1052">
        <v>934000</v>
      </c>
      <c r="G332" s="1048">
        <f>F332</f>
        <v>934000</v>
      </c>
      <c r="H332" s="1051">
        <f t="shared" si="47"/>
        <v>934000</v>
      </c>
      <c r="I332" s="1052"/>
      <c r="J332" s="1048">
        <f t="shared" si="45"/>
        <v>0</v>
      </c>
      <c r="K332" s="1048">
        <f t="shared" si="46"/>
        <v>0</v>
      </c>
      <c r="L332" s="208"/>
      <c r="M332" s="209"/>
      <c r="N332" s="209"/>
      <c r="O332" s="209"/>
      <c r="P332" s="209"/>
      <c r="Q332" s="209"/>
      <c r="R332" s="209"/>
      <c r="S332" s="209"/>
      <c r="T332" s="209"/>
      <c r="U332" s="209"/>
      <c r="V332" s="209"/>
      <c r="W332" s="209"/>
    </row>
    <row r="333" spans="1:23" ht="11.25" customHeight="1" x14ac:dyDescent="0.25">
      <c r="A333" s="1165" t="s">
        <v>2479</v>
      </c>
      <c r="B333" s="1041"/>
      <c r="C333" s="1050">
        <v>0</v>
      </c>
      <c r="D333" s="1052">
        <f>[5]TB!$E$226</f>
        <v>150000</v>
      </c>
      <c r="E333" s="1052">
        <v>150000</v>
      </c>
      <c r="F333" s="1052">
        <v>0</v>
      </c>
      <c r="G333" s="1048">
        <v>0</v>
      </c>
      <c r="H333" s="1051">
        <f t="shared" si="47"/>
        <v>0</v>
      </c>
      <c r="I333" s="1052"/>
      <c r="J333" s="1048">
        <f t="shared" si="45"/>
        <v>0</v>
      </c>
      <c r="K333" s="1048">
        <f t="shared" si="46"/>
        <v>0</v>
      </c>
      <c r="L333" s="208"/>
      <c r="M333" s="209"/>
      <c r="N333" s="209"/>
      <c r="O333" s="209"/>
      <c r="P333" s="209"/>
      <c r="Q333" s="209"/>
      <c r="R333" s="209"/>
      <c r="S333" s="209"/>
      <c r="T333" s="209"/>
      <c r="U333" s="209"/>
      <c r="V333" s="209"/>
      <c r="W333" s="209"/>
    </row>
    <row r="334" spans="1:23" ht="11.25" customHeight="1" x14ac:dyDescent="0.25">
      <c r="A334" s="1165" t="s">
        <v>2480</v>
      </c>
      <c r="B334" s="1041"/>
      <c r="C334" s="1050">
        <v>0</v>
      </c>
      <c r="D334" s="1052">
        <f>[5]TB!$E$227</f>
        <v>1346801</v>
      </c>
      <c r="E334" s="1052">
        <v>2816445.47</v>
      </c>
      <c r="F334" s="1052">
        <v>500000</v>
      </c>
      <c r="G334" s="1048">
        <v>0</v>
      </c>
      <c r="H334" s="1051">
        <f t="shared" si="47"/>
        <v>0</v>
      </c>
      <c r="I334" s="1052"/>
      <c r="J334" s="1048">
        <f t="shared" si="45"/>
        <v>0</v>
      </c>
      <c r="K334" s="1048">
        <f t="shared" si="46"/>
        <v>0</v>
      </c>
      <c r="L334" s="208"/>
      <c r="M334" s="209"/>
      <c r="N334" s="209"/>
      <c r="O334" s="209"/>
      <c r="P334" s="209"/>
      <c r="Q334" s="209"/>
      <c r="R334" s="209"/>
      <c r="S334" s="209"/>
      <c r="T334" s="209"/>
      <c r="U334" s="209"/>
      <c r="V334" s="209"/>
      <c r="W334" s="209"/>
    </row>
    <row r="335" spans="1:23" ht="11.25" customHeight="1" x14ac:dyDescent="0.25">
      <c r="A335" s="1165" t="s">
        <v>2481</v>
      </c>
      <c r="B335" s="1041"/>
      <c r="C335" s="1050">
        <v>0</v>
      </c>
      <c r="D335" s="1052">
        <f>[5]TB!$E$222</f>
        <v>660451.28</v>
      </c>
      <c r="E335" s="1052">
        <v>552000</v>
      </c>
      <c r="F335" s="1052">
        <v>0</v>
      </c>
      <c r="G335" s="1048">
        <v>0</v>
      </c>
      <c r="H335" s="1051">
        <f t="shared" si="47"/>
        <v>0</v>
      </c>
      <c r="I335" s="1052"/>
      <c r="J335" s="1048">
        <f t="shared" si="45"/>
        <v>0</v>
      </c>
      <c r="K335" s="1048">
        <f t="shared" si="46"/>
        <v>0</v>
      </c>
      <c r="L335" s="208"/>
      <c r="M335" s="209"/>
      <c r="N335" s="209"/>
      <c r="O335" s="209"/>
      <c r="P335" s="209"/>
      <c r="Q335" s="209"/>
      <c r="R335" s="209"/>
      <c r="S335" s="209"/>
      <c r="T335" s="209"/>
      <c r="U335" s="209"/>
      <c r="V335" s="209"/>
      <c r="W335" s="209"/>
    </row>
    <row r="336" spans="1:23" ht="11.25" customHeight="1" x14ac:dyDescent="0.25">
      <c r="A336" s="1165" t="s">
        <v>2482</v>
      </c>
      <c r="B336" s="1041"/>
      <c r="C336" s="1050">
        <v>0</v>
      </c>
      <c r="D336" s="1052"/>
      <c r="E336" s="1052">
        <v>3500000</v>
      </c>
      <c r="F336" s="1052">
        <v>350000</v>
      </c>
      <c r="G336" s="1048">
        <v>0</v>
      </c>
      <c r="H336" s="1051">
        <f t="shared" si="47"/>
        <v>0</v>
      </c>
      <c r="I336" s="1052"/>
      <c r="J336" s="1048">
        <f t="shared" si="45"/>
        <v>0</v>
      </c>
      <c r="K336" s="1048">
        <f t="shared" si="46"/>
        <v>0</v>
      </c>
      <c r="L336" s="208"/>
      <c r="M336" s="209"/>
      <c r="N336" s="209"/>
      <c r="O336" s="209"/>
      <c r="P336" s="209"/>
      <c r="Q336" s="209"/>
      <c r="R336" s="209"/>
      <c r="S336" s="209"/>
      <c r="T336" s="209"/>
      <c r="U336" s="209"/>
      <c r="V336" s="209"/>
      <c r="W336" s="209"/>
    </row>
    <row r="337" spans="1:23" ht="11.25" customHeight="1" x14ac:dyDescent="0.25">
      <c r="A337" s="1165" t="s">
        <v>2483</v>
      </c>
      <c r="B337" s="1041"/>
      <c r="C337" s="1050">
        <v>0</v>
      </c>
      <c r="D337" s="1052"/>
      <c r="E337" s="1052">
        <v>0</v>
      </c>
      <c r="F337" s="1052"/>
      <c r="G337" s="1048">
        <v>0</v>
      </c>
      <c r="H337" s="1051">
        <f t="shared" si="47"/>
        <v>0</v>
      </c>
      <c r="I337" s="1052"/>
      <c r="J337" s="1048">
        <f t="shared" si="45"/>
        <v>0</v>
      </c>
      <c r="K337" s="1048">
        <f t="shared" si="46"/>
        <v>0</v>
      </c>
      <c r="L337" s="208"/>
      <c r="M337" s="209"/>
      <c r="N337" s="209"/>
      <c r="O337" s="209"/>
      <c r="P337" s="209"/>
      <c r="Q337" s="209"/>
      <c r="R337" s="209"/>
      <c r="S337" s="209"/>
      <c r="T337" s="209"/>
      <c r="U337" s="209"/>
      <c r="V337" s="209"/>
      <c r="W337" s="209"/>
    </row>
    <row r="338" spans="1:23" ht="11.25" customHeight="1" x14ac:dyDescent="0.25">
      <c r="A338" s="1165" t="s">
        <v>2484</v>
      </c>
      <c r="B338" s="1041"/>
      <c r="C338" s="1050">
        <v>0</v>
      </c>
      <c r="D338" s="1052"/>
      <c r="E338" s="1052">
        <v>444685.56</v>
      </c>
      <c r="F338" s="1052"/>
      <c r="G338" s="1048">
        <v>0</v>
      </c>
      <c r="H338" s="1051">
        <f t="shared" si="47"/>
        <v>0</v>
      </c>
      <c r="I338" s="2669">
        <v>100000</v>
      </c>
      <c r="J338" s="1048">
        <f t="shared" si="45"/>
        <v>105900</v>
      </c>
      <c r="K338" s="1048">
        <f t="shared" si="46"/>
        <v>111830.40000000001</v>
      </c>
      <c r="L338" s="208"/>
      <c r="M338" s="209"/>
      <c r="N338" s="209"/>
      <c r="O338" s="209"/>
      <c r="P338" s="209"/>
      <c r="Q338" s="209"/>
      <c r="R338" s="209"/>
      <c r="S338" s="209"/>
      <c r="T338" s="209"/>
      <c r="U338" s="209"/>
      <c r="V338" s="209"/>
      <c r="W338" s="209"/>
    </row>
    <row r="339" spans="1:23" ht="11.25" customHeight="1" x14ac:dyDescent="0.25">
      <c r="A339" s="1165" t="s">
        <v>2485</v>
      </c>
      <c r="B339" s="1041"/>
      <c r="C339" s="1050">
        <v>0</v>
      </c>
      <c r="D339" s="1049"/>
      <c r="E339" s="1052"/>
      <c r="F339" s="1052"/>
      <c r="G339" s="1048">
        <v>0</v>
      </c>
      <c r="H339" s="1051">
        <f t="shared" si="47"/>
        <v>0</v>
      </c>
      <c r="I339" s="1052"/>
      <c r="J339" s="1048">
        <f t="shared" si="45"/>
        <v>0</v>
      </c>
      <c r="K339" s="1048">
        <f t="shared" si="46"/>
        <v>0</v>
      </c>
      <c r="L339" s="208"/>
      <c r="M339" s="209"/>
      <c r="N339" s="209"/>
      <c r="O339" s="209"/>
      <c r="P339" s="209"/>
      <c r="Q339" s="209"/>
      <c r="R339" s="209"/>
      <c r="S339" s="209"/>
      <c r="T339" s="209"/>
      <c r="U339" s="209"/>
      <c r="V339" s="209"/>
      <c r="W339" s="209"/>
    </row>
    <row r="340" spans="1:23" ht="11.25" customHeight="1" x14ac:dyDescent="0.25">
      <c r="A340" s="1165" t="s">
        <v>2486</v>
      </c>
      <c r="B340" s="1041"/>
      <c r="C340" s="1050">
        <v>0</v>
      </c>
      <c r="D340" s="1049"/>
      <c r="E340" s="1052"/>
      <c r="F340" s="1052"/>
      <c r="G340" s="1048">
        <v>0</v>
      </c>
      <c r="H340" s="1051">
        <f t="shared" si="47"/>
        <v>0</v>
      </c>
      <c r="I340" s="1052"/>
      <c r="J340" s="1048">
        <f t="shared" si="45"/>
        <v>0</v>
      </c>
      <c r="K340" s="1048">
        <f t="shared" si="46"/>
        <v>0</v>
      </c>
      <c r="L340" s="208"/>
      <c r="M340" s="209"/>
      <c r="N340" s="209"/>
      <c r="O340" s="209"/>
      <c r="P340" s="209"/>
      <c r="Q340" s="209"/>
      <c r="R340" s="209"/>
      <c r="S340" s="209"/>
      <c r="T340" s="209"/>
      <c r="U340" s="209"/>
      <c r="V340" s="209"/>
      <c r="W340" s="209"/>
    </row>
    <row r="341" spans="1:23" ht="11.25" customHeight="1" x14ac:dyDescent="0.25">
      <c r="A341" s="1165" t="s">
        <v>2485</v>
      </c>
      <c r="B341" s="1041"/>
      <c r="C341" s="1050">
        <v>0</v>
      </c>
      <c r="D341" s="1049">
        <f>[5]TB!$E$199</f>
        <v>250000</v>
      </c>
      <c r="E341" s="1052"/>
      <c r="F341" s="1052"/>
      <c r="G341" s="1048">
        <v>0</v>
      </c>
      <c r="H341" s="1051">
        <f t="shared" si="47"/>
        <v>0</v>
      </c>
      <c r="I341" s="1052"/>
      <c r="J341" s="1048">
        <f t="shared" si="45"/>
        <v>0</v>
      </c>
      <c r="K341" s="1048">
        <f t="shared" si="46"/>
        <v>0</v>
      </c>
      <c r="L341" s="208"/>
      <c r="M341" s="209"/>
      <c r="N341" s="209"/>
      <c r="O341" s="209"/>
      <c r="P341" s="209"/>
      <c r="Q341" s="209"/>
      <c r="R341" s="209"/>
      <c r="S341" s="209"/>
      <c r="T341" s="209"/>
      <c r="U341" s="209"/>
      <c r="V341" s="209"/>
      <c r="W341" s="209"/>
    </row>
    <row r="342" spans="1:23" ht="11.25" customHeight="1" x14ac:dyDescent="0.25">
      <c r="A342" s="1165" t="s">
        <v>2486</v>
      </c>
      <c r="B342" s="1041"/>
      <c r="C342" s="1050">
        <v>0</v>
      </c>
      <c r="D342" s="1049"/>
      <c r="E342" s="1052"/>
      <c r="F342" s="1052"/>
      <c r="G342" s="1048">
        <v>0</v>
      </c>
      <c r="H342" s="1051">
        <f t="shared" si="47"/>
        <v>0</v>
      </c>
      <c r="I342" s="1052"/>
      <c r="J342" s="1048">
        <f t="shared" si="45"/>
        <v>0</v>
      </c>
      <c r="K342" s="1048">
        <f t="shared" si="46"/>
        <v>0</v>
      </c>
      <c r="L342" s="208"/>
      <c r="M342" s="209"/>
      <c r="N342" s="209"/>
      <c r="O342" s="209"/>
      <c r="P342" s="209"/>
      <c r="Q342" s="209"/>
      <c r="R342" s="209"/>
      <c r="S342" s="209"/>
      <c r="T342" s="209"/>
      <c r="U342" s="209"/>
      <c r="V342" s="209"/>
      <c r="W342" s="209"/>
    </row>
    <row r="343" spans="1:23" ht="11.25" customHeight="1" x14ac:dyDescent="0.25">
      <c r="A343" s="1165" t="s">
        <v>2487</v>
      </c>
      <c r="B343" s="1041"/>
      <c r="C343" s="1050">
        <v>0</v>
      </c>
      <c r="D343" s="1049">
        <f>[5]TB!$E$228</f>
        <v>4372936.3899999997</v>
      </c>
      <c r="E343" s="1052">
        <v>5734914.5499999998</v>
      </c>
      <c r="F343" s="1052">
        <v>3500000</v>
      </c>
      <c r="G343" s="1048">
        <v>2545027.61</v>
      </c>
      <c r="H343" s="1051">
        <f t="shared" si="47"/>
        <v>2545027.61</v>
      </c>
      <c r="I343" s="1052"/>
      <c r="J343" s="1048">
        <f t="shared" si="45"/>
        <v>0</v>
      </c>
      <c r="K343" s="1048">
        <f t="shared" si="46"/>
        <v>0</v>
      </c>
      <c r="L343" s="208"/>
      <c r="M343" s="209"/>
      <c r="N343" s="209"/>
      <c r="O343" s="209"/>
      <c r="P343" s="209"/>
      <c r="Q343" s="209"/>
      <c r="R343" s="209"/>
      <c r="S343" s="209"/>
      <c r="T343" s="209"/>
      <c r="U343" s="209"/>
      <c r="V343" s="209"/>
      <c r="W343" s="209"/>
    </row>
    <row r="344" spans="1:23" ht="11.25" customHeight="1" x14ac:dyDescent="0.25">
      <c r="A344" s="1165" t="s">
        <v>2613</v>
      </c>
      <c r="B344" s="1041"/>
      <c r="C344" s="1050">
        <v>0</v>
      </c>
      <c r="D344" s="1051">
        <v>0</v>
      </c>
      <c r="E344" s="1051">
        <v>32943.65</v>
      </c>
      <c r="F344" s="1050"/>
      <c r="G344" s="1048"/>
      <c r="H344" s="1051"/>
      <c r="I344" s="1052"/>
      <c r="J344" s="1048">
        <f t="shared" si="45"/>
        <v>0</v>
      </c>
      <c r="K344" s="1048">
        <f t="shared" si="46"/>
        <v>0</v>
      </c>
      <c r="L344" s="208"/>
      <c r="M344" s="209"/>
      <c r="N344" s="209"/>
      <c r="O344" s="209"/>
      <c r="P344" s="209"/>
      <c r="Q344" s="209"/>
      <c r="R344" s="209"/>
      <c r="S344" s="209"/>
      <c r="T344" s="209"/>
      <c r="U344" s="209"/>
      <c r="V344" s="209"/>
      <c r="W344" s="209"/>
    </row>
    <row r="345" spans="1:23" ht="11.25" customHeight="1" x14ac:dyDescent="0.25">
      <c r="A345" s="1165" t="s">
        <v>2614</v>
      </c>
      <c r="B345" s="1041"/>
      <c r="C345" s="1048">
        <v>0</v>
      </c>
      <c r="D345" s="1051">
        <v>0</v>
      </c>
      <c r="E345" s="1051">
        <v>0</v>
      </c>
      <c r="F345" s="1050">
        <v>0</v>
      </c>
      <c r="G345" s="1048">
        <v>0</v>
      </c>
      <c r="H345" s="1051">
        <v>0</v>
      </c>
      <c r="I345" s="1052"/>
      <c r="J345" s="1048">
        <f t="shared" si="45"/>
        <v>0</v>
      </c>
      <c r="K345" s="1048">
        <f t="shared" si="46"/>
        <v>0</v>
      </c>
      <c r="L345" s="208"/>
      <c r="M345" s="209"/>
      <c r="N345" s="209"/>
      <c r="O345" s="209"/>
      <c r="P345" s="209"/>
      <c r="Q345" s="209"/>
      <c r="R345" s="209"/>
      <c r="S345" s="209"/>
      <c r="T345" s="209"/>
      <c r="U345" s="209"/>
      <c r="V345" s="209"/>
      <c r="W345" s="209"/>
    </row>
    <row r="346" spans="1:23" ht="11.25" customHeight="1" x14ac:dyDescent="0.25">
      <c r="A346" s="1165" t="s">
        <v>2780</v>
      </c>
      <c r="B346" s="1041"/>
      <c r="C346" s="1048"/>
      <c r="D346" s="1048"/>
      <c r="E346" s="1049"/>
      <c r="F346" s="1050"/>
      <c r="G346" s="1048"/>
      <c r="H346" s="1051"/>
      <c r="I346" s="1608">
        <v>56000000</v>
      </c>
      <c r="J346" s="1048">
        <f t="shared" si="45"/>
        <v>59304000</v>
      </c>
      <c r="K346" s="1048">
        <f t="shared" si="46"/>
        <v>62625024</v>
      </c>
      <c r="L346" s="208"/>
      <c r="M346" s="209"/>
      <c r="N346" s="209"/>
      <c r="O346" s="209"/>
      <c r="P346" s="209"/>
      <c r="Q346" s="209"/>
      <c r="R346" s="209"/>
      <c r="S346" s="209"/>
      <c r="T346" s="209"/>
      <c r="U346" s="209"/>
      <c r="V346" s="209"/>
      <c r="W346" s="209"/>
    </row>
    <row r="347" spans="1:23" ht="11.25" customHeight="1" x14ac:dyDescent="0.25">
      <c r="A347" s="1165">
        <f>A58</f>
        <v>0</v>
      </c>
      <c r="B347" s="1041"/>
      <c r="C347" s="1048"/>
      <c r="D347" s="1048"/>
      <c r="E347" s="1049"/>
      <c r="F347" s="1050"/>
      <c r="G347" s="1048"/>
      <c r="H347" s="1051"/>
      <c r="I347" s="1052"/>
      <c r="J347" s="1048"/>
      <c r="K347" s="2677"/>
      <c r="L347" s="208"/>
      <c r="M347" s="209"/>
      <c r="N347" s="209"/>
      <c r="O347" s="209"/>
      <c r="P347" s="209"/>
      <c r="Q347" s="209"/>
      <c r="R347" s="209"/>
      <c r="S347" s="209"/>
      <c r="T347" s="209"/>
      <c r="U347" s="209"/>
      <c r="V347" s="209"/>
      <c r="W347" s="209"/>
    </row>
    <row r="348" spans="1:23" ht="11.25" customHeight="1" x14ac:dyDescent="0.25">
      <c r="A348" s="1165">
        <f>A59</f>
        <v>0</v>
      </c>
      <c r="B348" s="1041"/>
      <c r="C348" s="1048"/>
      <c r="D348" s="1048"/>
      <c r="E348" s="1049"/>
      <c r="F348" s="1050"/>
      <c r="G348" s="1048"/>
      <c r="H348" s="1051"/>
      <c r="I348" s="1052"/>
      <c r="J348" s="1048"/>
      <c r="K348" s="2677"/>
      <c r="L348" s="208"/>
      <c r="M348" s="209"/>
      <c r="N348" s="209"/>
      <c r="O348" s="209"/>
      <c r="P348" s="209"/>
      <c r="Q348" s="209"/>
      <c r="R348" s="209"/>
      <c r="S348" s="209"/>
      <c r="T348" s="209"/>
      <c r="U348" s="209"/>
      <c r="V348" s="209"/>
      <c r="W348" s="209"/>
    </row>
    <row r="349" spans="1:23" ht="15" customHeight="1" x14ac:dyDescent="0.25">
      <c r="A349" s="1164" t="str">
        <f>A60</f>
        <v>Vote 5 - 105 TECHNICAL SERVICES</v>
      </c>
      <c r="B349" s="1053"/>
      <c r="C349" s="971">
        <f t="shared" ref="C349:K349" si="48">SUM(C350:C374)</f>
        <v>0</v>
      </c>
      <c r="D349" s="971">
        <f t="shared" si="48"/>
        <v>18337466.430000003</v>
      </c>
      <c r="E349" s="972">
        <f t="shared" si="48"/>
        <v>17066069.959999997</v>
      </c>
      <c r="F349" s="973">
        <f t="shared" si="48"/>
        <v>15594052</v>
      </c>
      <c r="G349" s="971">
        <f t="shared" si="48"/>
        <v>15699766.08</v>
      </c>
      <c r="H349" s="974">
        <f t="shared" si="48"/>
        <v>15699766.08</v>
      </c>
      <c r="I349" s="975">
        <f t="shared" si="48"/>
        <v>1895818</v>
      </c>
      <c r="J349" s="971">
        <f t="shared" si="48"/>
        <v>2007671.2619999996</v>
      </c>
      <c r="K349" s="971">
        <f t="shared" si="48"/>
        <v>2120100.8526719999</v>
      </c>
      <c r="L349" s="208"/>
      <c r="M349" s="209"/>
      <c r="N349" s="209"/>
      <c r="O349" s="209"/>
      <c r="P349" s="209"/>
      <c r="Q349" s="209"/>
      <c r="R349" s="209"/>
      <c r="S349" s="209"/>
      <c r="T349" s="209"/>
      <c r="U349" s="209"/>
      <c r="V349" s="209"/>
      <c r="W349" s="209"/>
    </row>
    <row r="350" spans="1:23" ht="11.25" customHeight="1" x14ac:dyDescent="0.25">
      <c r="A350" s="1165" t="s">
        <v>2375</v>
      </c>
      <c r="B350" s="1041"/>
      <c r="C350" s="1050">
        <v>0</v>
      </c>
      <c r="D350" s="1052">
        <v>10513137.310000001</v>
      </c>
      <c r="E350" s="1052">
        <v>10550969.85</v>
      </c>
      <c r="F350" s="1052">
        <v>11463013</v>
      </c>
      <c r="G350" s="1048">
        <v>11463013</v>
      </c>
      <c r="H350" s="1048">
        <v>11463013</v>
      </c>
      <c r="I350" s="1052">
        <v>1328396</v>
      </c>
      <c r="J350" s="1048">
        <v>1406771.3639999998</v>
      </c>
      <c r="K350" s="1048">
        <v>1485550.560384</v>
      </c>
      <c r="L350" s="208"/>
      <c r="M350" s="209"/>
      <c r="N350" s="209"/>
      <c r="O350" s="209"/>
      <c r="P350" s="209"/>
      <c r="Q350" s="209"/>
      <c r="R350" s="209"/>
      <c r="S350" s="209"/>
      <c r="T350" s="209"/>
      <c r="U350" s="209"/>
      <c r="V350" s="209"/>
      <c r="W350" s="209"/>
    </row>
    <row r="351" spans="1:23" ht="11.25" customHeight="1" x14ac:dyDescent="0.25">
      <c r="A351" s="1165" t="s">
        <v>2432</v>
      </c>
      <c r="B351" s="1041"/>
      <c r="C351" s="1050">
        <v>0</v>
      </c>
      <c r="D351" s="1052">
        <v>580197.42000000004</v>
      </c>
      <c r="E351" s="1052">
        <v>782847.5</v>
      </c>
      <c r="F351" s="1052">
        <v>955251</v>
      </c>
      <c r="G351" s="1048">
        <f>F351+-47065</f>
        <v>908186</v>
      </c>
      <c r="H351" s="1048">
        <v>908186</v>
      </c>
      <c r="I351" s="1052">
        <v>153117</v>
      </c>
      <c r="J351" s="1048">
        <v>162150.90299999999</v>
      </c>
      <c r="K351" s="1048">
        <v>171231.35356799999</v>
      </c>
      <c r="L351" s="208"/>
      <c r="M351" s="209"/>
      <c r="N351" s="209"/>
      <c r="O351" s="209"/>
      <c r="P351" s="209"/>
      <c r="Q351" s="209"/>
      <c r="R351" s="209"/>
      <c r="S351" s="209"/>
      <c r="T351" s="209"/>
      <c r="U351" s="209"/>
      <c r="V351" s="209"/>
      <c r="W351" s="209"/>
    </row>
    <row r="352" spans="1:23" ht="11.25" customHeight="1" x14ac:dyDescent="0.25">
      <c r="A352" s="1165" t="s">
        <v>2457</v>
      </c>
      <c r="B352" s="1041"/>
      <c r="C352" s="1050">
        <v>0</v>
      </c>
      <c r="D352" s="1052">
        <v>6848.2</v>
      </c>
      <c r="E352" s="1052">
        <v>6441.65</v>
      </c>
      <c r="F352" s="1052">
        <v>13000</v>
      </c>
      <c r="G352" s="1048">
        <f>F352+-2978</f>
        <v>10022</v>
      </c>
      <c r="H352" s="1048">
        <v>10022</v>
      </c>
      <c r="I352" s="1052">
        <v>348</v>
      </c>
      <c r="J352" s="1048">
        <v>368.53199999999998</v>
      </c>
      <c r="K352" s="1048">
        <v>389.16979199999997</v>
      </c>
      <c r="L352" s="208"/>
      <c r="M352" s="209"/>
      <c r="N352" s="209"/>
      <c r="O352" s="209"/>
      <c r="P352" s="209"/>
      <c r="Q352" s="209"/>
      <c r="R352" s="209"/>
      <c r="S352" s="209"/>
      <c r="T352" s="209"/>
      <c r="U352" s="209"/>
      <c r="V352" s="209"/>
      <c r="W352" s="209"/>
    </row>
    <row r="353" spans="1:23" ht="11.25" customHeight="1" x14ac:dyDescent="0.25">
      <c r="A353" s="1165" t="s">
        <v>2434</v>
      </c>
      <c r="B353" s="1041"/>
      <c r="C353" s="1050">
        <v>0</v>
      </c>
      <c r="D353" s="1052">
        <v>675314.83</v>
      </c>
      <c r="E353" s="1052">
        <v>342026.43</v>
      </c>
      <c r="F353" s="1052">
        <v>0</v>
      </c>
      <c r="G353" s="1048">
        <v>0</v>
      </c>
      <c r="H353" s="1048">
        <v>0</v>
      </c>
      <c r="I353" s="1052">
        <v>0</v>
      </c>
      <c r="J353" s="1048">
        <f t="shared" ref="J353:J372" si="49">I353*1.059</f>
        <v>0</v>
      </c>
      <c r="K353" s="1048">
        <f t="shared" ref="K353:K372" si="50">J353*1.056</f>
        <v>0</v>
      </c>
      <c r="L353" s="208"/>
      <c r="M353" s="209"/>
      <c r="N353" s="209"/>
      <c r="O353" s="209"/>
      <c r="P353" s="209"/>
      <c r="Q353" s="209"/>
      <c r="R353" s="209"/>
      <c r="S353" s="209"/>
      <c r="T353" s="209"/>
      <c r="U353" s="209"/>
      <c r="V353" s="209"/>
      <c r="W353" s="209"/>
    </row>
    <row r="354" spans="1:23" ht="11.25" customHeight="1" x14ac:dyDescent="0.25">
      <c r="A354" s="1165" t="s">
        <v>2435</v>
      </c>
      <c r="B354" s="1041"/>
      <c r="C354" s="1050">
        <v>0</v>
      </c>
      <c r="D354" s="1052">
        <v>778174.77</v>
      </c>
      <c r="E354" s="1052">
        <v>660453.93999999994</v>
      </c>
      <c r="F354" s="1052">
        <v>0</v>
      </c>
      <c r="G354" s="1048">
        <v>0</v>
      </c>
      <c r="H354" s="1048">
        <v>0</v>
      </c>
      <c r="I354" s="1052">
        <v>0</v>
      </c>
      <c r="J354" s="1048">
        <f t="shared" si="49"/>
        <v>0</v>
      </c>
      <c r="K354" s="1048">
        <f t="shared" si="50"/>
        <v>0</v>
      </c>
      <c r="L354" s="208"/>
      <c r="M354" s="209"/>
      <c r="N354" s="209"/>
      <c r="O354" s="209"/>
      <c r="P354" s="209"/>
      <c r="Q354" s="209"/>
      <c r="R354" s="209"/>
      <c r="S354" s="209"/>
      <c r="T354" s="209"/>
      <c r="U354" s="209"/>
      <c r="V354" s="209"/>
      <c r="W354" s="209"/>
    </row>
    <row r="355" spans="1:23" ht="11.25" customHeight="1" x14ac:dyDescent="0.25">
      <c r="A355" s="1165" t="s">
        <v>2376</v>
      </c>
      <c r="B355" s="1041"/>
      <c r="C355" s="1050">
        <v>0</v>
      </c>
      <c r="D355" s="1052">
        <v>2053355.72</v>
      </c>
      <c r="E355" s="1052">
        <v>2017972.82</v>
      </c>
      <c r="F355" s="1052">
        <v>2174289</v>
      </c>
      <c r="G355" s="1048">
        <f>F355</f>
        <v>2174289</v>
      </c>
      <c r="H355" s="1048">
        <v>2174289</v>
      </c>
      <c r="I355" s="1052">
        <v>203169</v>
      </c>
      <c r="J355" s="1048">
        <v>215155.97099999999</v>
      </c>
      <c r="K355" s="1048">
        <v>227204.705376</v>
      </c>
      <c r="L355" s="208"/>
      <c r="M355" s="209"/>
      <c r="N355" s="209"/>
      <c r="O355" s="209"/>
      <c r="P355" s="209"/>
      <c r="Q355" s="209"/>
      <c r="R355" s="209"/>
      <c r="S355" s="209"/>
      <c r="T355" s="209"/>
      <c r="U355" s="209"/>
      <c r="V355" s="209"/>
      <c r="W355" s="209"/>
    </row>
    <row r="356" spans="1:23" ht="11.25" customHeight="1" x14ac:dyDescent="0.25">
      <c r="A356" s="1165" t="s">
        <v>2377</v>
      </c>
      <c r="B356" s="1041"/>
      <c r="C356" s="1050">
        <v>0</v>
      </c>
      <c r="D356" s="1052">
        <v>533277.07999999996</v>
      </c>
      <c r="E356" s="1052">
        <v>595869.72</v>
      </c>
      <c r="F356" s="1052">
        <v>577494</v>
      </c>
      <c r="G356" s="1048">
        <f>F356+92506</f>
        <v>670000</v>
      </c>
      <c r="H356" s="1048">
        <v>670000</v>
      </c>
      <c r="I356" s="1052">
        <v>54929</v>
      </c>
      <c r="J356" s="1048">
        <v>58169.810999999994</v>
      </c>
      <c r="K356" s="1048">
        <v>61427.320415999995</v>
      </c>
      <c r="L356" s="208"/>
      <c r="M356" s="209"/>
      <c r="N356" s="209"/>
      <c r="O356" s="209"/>
      <c r="P356" s="209"/>
      <c r="Q356" s="209"/>
      <c r="R356" s="209"/>
      <c r="S356" s="209"/>
      <c r="T356" s="209"/>
      <c r="U356" s="209"/>
      <c r="V356" s="209"/>
      <c r="W356" s="209"/>
    </row>
    <row r="357" spans="1:23" ht="11.25" customHeight="1" x14ac:dyDescent="0.25">
      <c r="A357" s="1165" t="s">
        <v>2378</v>
      </c>
      <c r="B357" s="1041"/>
      <c r="C357" s="1050">
        <v>0</v>
      </c>
      <c r="D357" s="1052">
        <v>0</v>
      </c>
      <c r="E357" s="1052">
        <v>0</v>
      </c>
      <c r="F357" s="1052">
        <v>0</v>
      </c>
      <c r="G357" s="1048">
        <v>0</v>
      </c>
      <c r="H357" s="1048">
        <v>0</v>
      </c>
      <c r="I357" s="1052">
        <v>0</v>
      </c>
      <c r="J357" s="1048">
        <f t="shared" si="49"/>
        <v>0</v>
      </c>
      <c r="K357" s="1048">
        <f t="shared" si="50"/>
        <v>0</v>
      </c>
      <c r="L357" s="208"/>
      <c r="M357" s="209"/>
      <c r="N357" s="209"/>
      <c r="O357" s="209"/>
      <c r="P357" s="209"/>
      <c r="Q357" s="209"/>
      <c r="R357" s="209"/>
      <c r="S357" s="209"/>
      <c r="T357" s="209"/>
      <c r="U357" s="209"/>
      <c r="V357" s="209"/>
      <c r="W357" s="209"/>
    </row>
    <row r="358" spans="1:23" ht="11.25" customHeight="1" x14ac:dyDescent="0.25">
      <c r="A358" s="1165" t="s">
        <v>2379</v>
      </c>
      <c r="B358" s="1041"/>
      <c r="C358" s="1050">
        <v>0</v>
      </c>
      <c r="D358" s="1052">
        <v>5436</v>
      </c>
      <c r="E358" s="1052">
        <v>2718</v>
      </c>
      <c r="F358" s="1052">
        <v>4077</v>
      </c>
      <c r="G358" s="1048">
        <f>F358+-2077</f>
        <v>2000</v>
      </c>
      <c r="H358" s="1048">
        <v>2000</v>
      </c>
      <c r="I358" s="1052">
        <v>0</v>
      </c>
      <c r="J358" s="1048">
        <f t="shared" si="49"/>
        <v>0</v>
      </c>
      <c r="K358" s="1048">
        <f t="shared" si="50"/>
        <v>0</v>
      </c>
      <c r="L358" s="208"/>
      <c r="M358" s="209"/>
      <c r="N358" s="209"/>
      <c r="O358" s="209"/>
      <c r="P358" s="209"/>
      <c r="Q358" s="209"/>
      <c r="R358" s="209"/>
      <c r="S358" s="209"/>
      <c r="T358" s="209"/>
      <c r="U358" s="209"/>
      <c r="V358" s="209"/>
      <c r="W358" s="209"/>
    </row>
    <row r="359" spans="1:23" ht="11.25" customHeight="1" x14ac:dyDescent="0.25">
      <c r="A359" s="1165" t="s">
        <v>2380</v>
      </c>
      <c r="B359" s="1041"/>
      <c r="C359" s="1050">
        <v>0</v>
      </c>
      <c r="D359" s="1052">
        <v>108420.37</v>
      </c>
      <c r="E359" s="1052">
        <v>113931.1</v>
      </c>
      <c r="F359" s="1052">
        <v>121928</v>
      </c>
      <c r="G359" s="1048">
        <f>F359+-9928</f>
        <v>112000</v>
      </c>
      <c r="H359" s="1048">
        <v>112000</v>
      </c>
      <c r="I359" s="1052">
        <v>7575</v>
      </c>
      <c r="J359" s="1048">
        <v>8021.9249999999993</v>
      </c>
      <c r="K359" s="1048">
        <v>8471.1527999999998</v>
      </c>
      <c r="L359" s="208"/>
      <c r="M359" s="209"/>
      <c r="N359" s="209"/>
      <c r="O359" s="209"/>
      <c r="P359" s="209"/>
      <c r="Q359" s="209"/>
      <c r="R359" s="209"/>
      <c r="S359" s="209"/>
      <c r="T359" s="209"/>
      <c r="U359" s="209"/>
      <c r="V359" s="209"/>
      <c r="W359" s="209"/>
    </row>
    <row r="360" spans="1:23" ht="11.25" customHeight="1" x14ac:dyDescent="0.25">
      <c r="A360" s="1165" t="s">
        <v>2488</v>
      </c>
      <c r="B360" s="1041"/>
      <c r="C360" s="1050">
        <v>0</v>
      </c>
      <c r="D360" s="1052">
        <v>122526.47</v>
      </c>
      <c r="E360" s="1052">
        <v>123608.3</v>
      </c>
      <c r="F360" s="1052">
        <v>135000</v>
      </c>
      <c r="G360" s="1048">
        <f>F360+-13000</f>
        <v>122000</v>
      </c>
      <c r="H360" s="1048">
        <v>122000</v>
      </c>
      <c r="I360" s="1052">
        <v>13284</v>
      </c>
      <c r="J360" s="1048">
        <v>14067.755999999999</v>
      </c>
      <c r="K360" s="1048">
        <v>14855.550336</v>
      </c>
      <c r="L360" s="208"/>
      <c r="M360" s="209"/>
      <c r="N360" s="209"/>
      <c r="O360" s="209"/>
      <c r="P360" s="209"/>
      <c r="Q360" s="209"/>
      <c r="R360" s="209"/>
      <c r="S360" s="209"/>
      <c r="T360" s="209"/>
      <c r="U360" s="209"/>
      <c r="V360" s="209"/>
      <c r="W360" s="209"/>
    </row>
    <row r="361" spans="1:23" ht="11.25" customHeight="1" x14ac:dyDescent="0.25">
      <c r="A361" s="1165" t="s">
        <v>2489</v>
      </c>
      <c r="B361" s="1041"/>
      <c r="C361" s="1050">
        <v>0</v>
      </c>
      <c r="D361" s="1052"/>
      <c r="E361" s="1052">
        <v>0</v>
      </c>
      <c r="F361" s="1052">
        <v>0</v>
      </c>
      <c r="G361" s="1048">
        <v>0</v>
      </c>
      <c r="H361" s="1048">
        <v>0</v>
      </c>
      <c r="I361" s="1052"/>
      <c r="J361" s="1048">
        <f t="shared" si="49"/>
        <v>0</v>
      </c>
      <c r="K361" s="1048">
        <f t="shared" si="50"/>
        <v>0</v>
      </c>
      <c r="L361" s="208"/>
      <c r="M361" s="209"/>
      <c r="N361" s="209"/>
      <c r="O361" s="209"/>
      <c r="P361" s="209"/>
      <c r="Q361" s="209"/>
      <c r="R361" s="209"/>
      <c r="S361" s="209"/>
      <c r="T361" s="209"/>
      <c r="U361" s="209"/>
      <c r="V361" s="209"/>
      <c r="W361" s="209"/>
    </row>
    <row r="362" spans="1:23" ht="11.25" customHeight="1" x14ac:dyDescent="0.25">
      <c r="A362" s="1165" t="s">
        <v>2446</v>
      </c>
      <c r="B362" s="1041"/>
      <c r="C362" s="1050">
        <v>0</v>
      </c>
      <c r="D362" s="1052">
        <v>71650</v>
      </c>
      <c r="E362" s="1052">
        <v>24000</v>
      </c>
      <c r="F362" s="1052">
        <v>0</v>
      </c>
      <c r="G362" s="1048">
        <v>72000</v>
      </c>
      <c r="H362" s="1048">
        <v>72000</v>
      </c>
      <c r="I362" s="1052">
        <v>15000</v>
      </c>
      <c r="J362" s="1048">
        <v>15885</v>
      </c>
      <c r="K362" s="1048">
        <v>16774.560000000001</v>
      </c>
      <c r="L362" s="208"/>
      <c r="M362" s="209"/>
      <c r="N362" s="209"/>
      <c r="O362" s="209"/>
      <c r="P362" s="209"/>
      <c r="Q362" s="209"/>
      <c r="R362" s="209"/>
      <c r="S362" s="209"/>
      <c r="T362" s="209"/>
      <c r="U362" s="209"/>
      <c r="V362" s="209"/>
      <c r="W362" s="209"/>
    </row>
    <row r="363" spans="1:23" ht="11.25" customHeight="1" x14ac:dyDescent="0.25">
      <c r="A363" s="1165" t="s">
        <v>2460</v>
      </c>
      <c r="B363" s="1041"/>
      <c r="C363" s="1050">
        <v>0</v>
      </c>
      <c r="D363" s="1052">
        <v>6000</v>
      </c>
      <c r="E363" s="1052">
        <v>0</v>
      </c>
      <c r="F363" s="1052">
        <v>0</v>
      </c>
      <c r="G363" s="1048">
        <v>0</v>
      </c>
      <c r="H363" s="1048">
        <v>0</v>
      </c>
      <c r="I363" s="1052"/>
      <c r="J363" s="1048">
        <f t="shared" si="49"/>
        <v>0</v>
      </c>
      <c r="K363" s="1048">
        <f t="shared" si="50"/>
        <v>0</v>
      </c>
      <c r="L363" s="208"/>
      <c r="M363" s="209"/>
      <c r="N363" s="209"/>
      <c r="O363" s="209"/>
      <c r="P363" s="209"/>
      <c r="Q363" s="209"/>
      <c r="R363" s="209"/>
      <c r="S363" s="209"/>
      <c r="T363" s="209"/>
      <c r="U363" s="209"/>
      <c r="V363" s="209"/>
      <c r="W363" s="209"/>
    </row>
    <row r="364" spans="1:23" ht="11.25" customHeight="1" x14ac:dyDescent="0.25">
      <c r="A364" s="1165" t="s">
        <v>2390</v>
      </c>
      <c r="B364" s="1041"/>
      <c r="C364" s="1050">
        <v>0</v>
      </c>
      <c r="D364" s="1052">
        <v>1456836</v>
      </c>
      <c r="E364" s="1052">
        <v>0</v>
      </c>
      <c r="F364" s="1052">
        <v>0</v>
      </c>
      <c r="G364" s="1048">
        <v>0</v>
      </c>
      <c r="H364" s="1048">
        <v>0</v>
      </c>
      <c r="I364" s="1052"/>
      <c r="J364" s="1048">
        <f t="shared" si="49"/>
        <v>0</v>
      </c>
      <c r="K364" s="1048">
        <f t="shared" si="50"/>
        <v>0</v>
      </c>
      <c r="L364" s="208"/>
      <c r="M364" s="209"/>
      <c r="N364" s="209"/>
      <c r="O364" s="209"/>
      <c r="P364" s="209"/>
      <c r="Q364" s="209"/>
      <c r="R364" s="209"/>
      <c r="S364" s="209"/>
      <c r="T364" s="209"/>
      <c r="U364" s="209"/>
      <c r="V364" s="209"/>
      <c r="W364" s="209"/>
    </row>
    <row r="365" spans="1:23" ht="11.25" customHeight="1" x14ac:dyDescent="0.25">
      <c r="A365" s="1165" t="s">
        <v>2490</v>
      </c>
      <c r="B365" s="1041"/>
      <c r="C365" s="1050">
        <v>0</v>
      </c>
      <c r="D365" s="1052">
        <v>387514.94</v>
      </c>
      <c r="E365" s="1052">
        <v>1205114.71</v>
      </c>
      <c r="F365" s="1052">
        <v>150000</v>
      </c>
      <c r="G365" s="1048">
        <f>F365+-118078.02</f>
        <v>31921.979999999996</v>
      </c>
      <c r="H365" s="1048">
        <v>31921.979999999996</v>
      </c>
      <c r="I365" s="1052"/>
      <c r="J365" s="1048">
        <f t="shared" si="49"/>
        <v>0</v>
      </c>
      <c r="K365" s="1048">
        <f t="shared" si="50"/>
        <v>0</v>
      </c>
      <c r="L365" s="208"/>
      <c r="M365" s="209"/>
      <c r="N365" s="209"/>
      <c r="O365" s="209"/>
      <c r="P365" s="209"/>
      <c r="Q365" s="209"/>
      <c r="R365" s="209"/>
      <c r="S365" s="209"/>
      <c r="T365" s="209"/>
      <c r="U365" s="209"/>
      <c r="V365" s="209"/>
      <c r="W365" s="209"/>
    </row>
    <row r="366" spans="1:23" ht="11.25" customHeight="1" x14ac:dyDescent="0.25">
      <c r="A366" s="1165" t="s">
        <v>2491</v>
      </c>
      <c r="B366" s="1041"/>
      <c r="C366" s="1050">
        <v>0</v>
      </c>
      <c r="D366" s="1052">
        <v>507581.34</v>
      </c>
      <c r="E366" s="1052">
        <v>0</v>
      </c>
      <c r="F366" s="1052">
        <v>0</v>
      </c>
      <c r="G366" s="1048">
        <v>0</v>
      </c>
      <c r="H366" s="1048">
        <v>0</v>
      </c>
      <c r="I366" s="1052"/>
      <c r="J366" s="1048">
        <f t="shared" si="49"/>
        <v>0</v>
      </c>
      <c r="K366" s="1048">
        <f t="shared" si="50"/>
        <v>0</v>
      </c>
      <c r="L366" s="208"/>
      <c r="M366" s="209"/>
      <c r="N366" s="209"/>
      <c r="O366" s="209"/>
      <c r="P366" s="209"/>
      <c r="Q366" s="209"/>
      <c r="R366" s="209"/>
      <c r="S366" s="209"/>
      <c r="T366" s="209"/>
      <c r="U366" s="209"/>
      <c r="V366" s="209"/>
      <c r="W366" s="209"/>
    </row>
    <row r="367" spans="1:23" ht="11.25" customHeight="1" x14ac:dyDescent="0.25">
      <c r="A367" s="1165" t="s">
        <v>2463</v>
      </c>
      <c r="B367" s="1041"/>
      <c r="C367" s="1050">
        <v>0</v>
      </c>
      <c r="D367" s="1052"/>
      <c r="E367" s="1052">
        <v>383851.11</v>
      </c>
      <c r="F367" s="1052">
        <v>0</v>
      </c>
      <c r="G367" s="1048">
        <v>0</v>
      </c>
      <c r="H367" s="1048">
        <v>0</v>
      </c>
      <c r="I367" s="1052"/>
      <c r="J367" s="1048">
        <f t="shared" si="49"/>
        <v>0</v>
      </c>
      <c r="K367" s="1048">
        <f t="shared" si="50"/>
        <v>0</v>
      </c>
      <c r="L367" s="208"/>
      <c r="M367" s="209"/>
      <c r="N367" s="209"/>
      <c r="O367" s="209"/>
      <c r="P367" s="209"/>
      <c r="Q367" s="209"/>
      <c r="R367" s="209"/>
      <c r="S367" s="209"/>
      <c r="T367" s="209"/>
      <c r="U367" s="209"/>
      <c r="V367" s="209"/>
      <c r="W367" s="209"/>
    </row>
    <row r="368" spans="1:23" ht="11.25" customHeight="1" x14ac:dyDescent="0.25">
      <c r="A368" s="1165" t="s">
        <v>2411</v>
      </c>
      <c r="B368" s="1041"/>
      <c r="C368" s="1050">
        <v>0</v>
      </c>
      <c r="D368" s="1052">
        <v>202840.06</v>
      </c>
      <c r="E368" s="1052">
        <v>103071.83</v>
      </c>
      <c r="F368" s="1052">
        <v>0</v>
      </c>
      <c r="G368" s="1048">
        <v>0</v>
      </c>
      <c r="H368" s="1048">
        <v>0</v>
      </c>
      <c r="I368" s="1052"/>
      <c r="J368" s="1048">
        <f t="shared" si="49"/>
        <v>0</v>
      </c>
      <c r="K368" s="1048">
        <f t="shared" si="50"/>
        <v>0</v>
      </c>
      <c r="L368" s="208"/>
      <c r="M368" s="209"/>
      <c r="N368" s="209"/>
      <c r="O368" s="209"/>
      <c r="P368" s="209"/>
      <c r="Q368" s="209"/>
      <c r="R368" s="209"/>
      <c r="S368" s="209"/>
      <c r="T368" s="209"/>
      <c r="U368" s="209"/>
      <c r="V368" s="209"/>
      <c r="W368" s="209"/>
    </row>
    <row r="369" spans="1:23" ht="11.25" customHeight="1" x14ac:dyDescent="0.25">
      <c r="A369" s="1165" t="s">
        <v>2492</v>
      </c>
      <c r="B369" s="1041"/>
      <c r="C369" s="1050">
        <v>0</v>
      </c>
      <c r="D369" s="1052">
        <v>328355.92</v>
      </c>
      <c r="E369" s="1052">
        <v>33193</v>
      </c>
      <c r="F369" s="1052">
        <v>0</v>
      </c>
      <c r="G369" s="1048">
        <v>0</v>
      </c>
      <c r="H369" s="1048">
        <v>0</v>
      </c>
      <c r="I369" s="1052"/>
      <c r="J369" s="1048">
        <f t="shared" si="49"/>
        <v>0</v>
      </c>
      <c r="K369" s="1048">
        <f t="shared" si="50"/>
        <v>0</v>
      </c>
      <c r="L369" s="208"/>
      <c r="M369" s="209"/>
      <c r="N369" s="209"/>
      <c r="O369" s="209"/>
      <c r="P369" s="209"/>
      <c r="Q369" s="209"/>
      <c r="R369" s="209"/>
      <c r="S369" s="209"/>
      <c r="T369" s="209"/>
      <c r="U369" s="209"/>
      <c r="V369" s="209"/>
      <c r="W369" s="209"/>
    </row>
    <row r="370" spans="1:23" ht="11.25" customHeight="1" x14ac:dyDescent="0.25">
      <c r="A370" s="1165" t="s">
        <v>2493</v>
      </c>
      <c r="B370" s="1041"/>
      <c r="C370" s="1050">
        <v>0</v>
      </c>
      <c r="D370" s="1049">
        <v>0</v>
      </c>
      <c r="E370" s="1050">
        <v>0</v>
      </c>
      <c r="F370" s="1052">
        <v>0</v>
      </c>
      <c r="G370" s="1048">
        <v>0</v>
      </c>
      <c r="H370" s="1048">
        <v>0</v>
      </c>
      <c r="I370" s="1052"/>
      <c r="J370" s="1048">
        <f t="shared" si="49"/>
        <v>0</v>
      </c>
      <c r="K370" s="1048">
        <f t="shared" si="50"/>
        <v>0</v>
      </c>
      <c r="L370" s="208"/>
      <c r="M370" s="209"/>
      <c r="N370" s="209"/>
      <c r="O370" s="209"/>
      <c r="P370" s="209"/>
      <c r="Q370" s="209"/>
      <c r="R370" s="209"/>
      <c r="S370" s="209"/>
      <c r="T370" s="209"/>
      <c r="U370" s="209"/>
      <c r="V370" s="209"/>
      <c r="W370" s="209"/>
    </row>
    <row r="371" spans="1:23" ht="11.25" customHeight="1" x14ac:dyDescent="0.25">
      <c r="A371" s="1165" t="s">
        <v>2447</v>
      </c>
      <c r="B371" s="1041"/>
      <c r="C371" s="1050">
        <v>0</v>
      </c>
      <c r="D371" s="1049">
        <v>0</v>
      </c>
      <c r="E371" s="1050">
        <v>120000</v>
      </c>
      <c r="F371" s="1050">
        <v>0</v>
      </c>
      <c r="G371" s="1048">
        <v>120000</v>
      </c>
      <c r="H371" s="1048">
        <v>120000</v>
      </c>
      <c r="I371" s="1052">
        <v>120000</v>
      </c>
      <c r="J371" s="1048">
        <v>127080</v>
      </c>
      <c r="K371" s="1048">
        <v>134196.48000000001</v>
      </c>
      <c r="L371" s="208"/>
      <c r="M371" s="209"/>
      <c r="N371" s="209"/>
      <c r="O371" s="209"/>
      <c r="P371" s="209"/>
      <c r="Q371" s="209"/>
      <c r="R371" s="209"/>
      <c r="S371" s="209"/>
      <c r="T371" s="209"/>
      <c r="U371" s="209"/>
      <c r="V371" s="209"/>
      <c r="W371" s="209"/>
    </row>
    <row r="372" spans="1:23" ht="11.25" customHeight="1" x14ac:dyDescent="0.25">
      <c r="A372" s="1165" t="s">
        <v>2601</v>
      </c>
      <c r="B372" s="1041"/>
      <c r="C372" s="1050">
        <v>0</v>
      </c>
      <c r="D372" s="1049">
        <v>0</v>
      </c>
      <c r="E372" s="1050">
        <v>0</v>
      </c>
      <c r="F372" s="1050">
        <v>0</v>
      </c>
      <c r="G372" s="1048">
        <v>14334.1</v>
      </c>
      <c r="H372" s="1048">
        <v>14334.1</v>
      </c>
      <c r="I372" s="1052"/>
      <c r="J372" s="1048">
        <f t="shared" si="49"/>
        <v>0</v>
      </c>
      <c r="K372" s="1048">
        <f t="shared" si="50"/>
        <v>0</v>
      </c>
      <c r="L372" s="208"/>
      <c r="M372" s="209"/>
      <c r="N372" s="209"/>
      <c r="O372" s="209"/>
      <c r="P372" s="209"/>
      <c r="Q372" s="209"/>
      <c r="R372" s="209"/>
      <c r="S372" s="209"/>
      <c r="T372" s="209"/>
      <c r="U372" s="209"/>
      <c r="V372" s="209"/>
      <c r="W372" s="209"/>
    </row>
    <row r="373" spans="1:23" ht="11.25" customHeight="1" x14ac:dyDescent="0.25">
      <c r="A373" s="1165">
        <f>A67</f>
        <v>0</v>
      </c>
      <c r="B373" s="1041"/>
      <c r="C373" s="1048"/>
      <c r="D373" s="1048"/>
      <c r="E373" s="1049"/>
      <c r="F373" s="1050"/>
      <c r="G373" s="1048"/>
      <c r="H373" s="1051"/>
      <c r="I373" s="1052"/>
      <c r="J373" s="1048"/>
      <c r="K373" s="2677"/>
      <c r="L373" s="208"/>
      <c r="M373" s="209"/>
      <c r="N373" s="209"/>
      <c r="O373" s="209"/>
      <c r="P373" s="209"/>
      <c r="Q373" s="209"/>
      <c r="R373" s="209"/>
      <c r="S373" s="209"/>
      <c r="T373" s="209"/>
      <c r="U373" s="209"/>
      <c r="V373" s="209"/>
      <c r="W373" s="209"/>
    </row>
    <row r="374" spans="1:23" ht="11.25" customHeight="1" x14ac:dyDescent="0.25">
      <c r="A374" s="1165">
        <f>A68</f>
        <v>0</v>
      </c>
      <c r="B374" s="1041"/>
      <c r="C374" s="1048"/>
      <c r="D374" s="1048"/>
      <c r="E374" s="1049"/>
      <c r="F374" s="1050"/>
      <c r="G374" s="1048"/>
      <c r="H374" s="1051"/>
      <c r="I374" s="1052"/>
      <c r="J374" s="1048"/>
      <c r="K374" s="2677"/>
      <c r="L374" s="208"/>
      <c r="M374" s="209"/>
      <c r="N374" s="209"/>
      <c r="O374" s="209"/>
      <c r="P374" s="209"/>
      <c r="Q374" s="209"/>
      <c r="R374" s="209"/>
      <c r="S374" s="209"/>
      <c r="T374" s="209"/>
      <c r="U374" s="209"/>
      <c r="V374" s="209"/>
      <c r="W374" s="209"/>
    </row>
    <row r="375" spans="1:23" ht="15" customHeight="1" x14ac:dyDescent="0.25">
      <c r="A375" s="1164" t="str">
        <f>A69</f>
        <v>Vote 6 - 500 PMU</v>
      </c>
      <c r="B375" s="1053"/>
      <c r="C375" s="971">
        <f t="shared" ref="C375:K375" si="51">SUM(C376:C411)</f>
        <v>0</v>
      </c>
      <c r="D375" s="971">
        <f t="shared" si="51"/>
        <v>5702747.9500000002</v>
      </c>
      <c r="E375" s="972">
        <f t="shared" si="51"/>
        <v>2879625.04</v>
      </c>
      <c r="F375" s="973">
        <f t="shared" si="51"/>
        <v>4464900</v>
      </c>
      <c r="G375" s="971">
        <f t="shared" si="51"/>
        <v>3944497</v>
      </c>
      <c r="H375" s="974">
        <f t="shared" si="51"/>
        <v>3944497</v>
      </c>
      <c r="I375" s="975">
        <f t="shared" si="51"/>
        <v>3899965</v>
      </c>
      <c r="J375" s="971">
        <f t="shared" si="51"/>
        <v>4130062.9350000005</v>
      </c>
      <c r="K375" s="971">
        <f t="shared" si="51"/>
        <v>4361346.4593599997</v>
      </c>
      <c r="L375" s="208"/>
      <c r="M375" s="209"/>
      <c r="N375" s="209"/>
      <c r="O375" s="209"/>
      <c r="P375" s="209"/>
      <c r="Q375" s="209"/>
      <c r="R375" s="209"/>
      <c r="S375" s="209"/>
      <c r="T375" s="209"/>
      <c r="U375" s="209"/>
      <c r="V375" s="209"/>
      <c r="W375" s="209"/>
    </row>
    <row r="376" spans="1:23" ht="11.25" customHeight="1" x14ac:dyDescent="0.25">
      <c r="A376" s="1165" t="s">
        <v>2375</v>
      </c>
      <c r="B376" s="1041"/>
      <c r="C376" s="1050">
        <v>0</v>
      </c>
      <c r="D376" s="1052">
        <v>1515669.39</v>
      </c>
      <c r="E376" s="1052">
        <v>111742</v>
      </c>
      <c r="F376" s="1052">
        <v>1742912</v>
      </c>
      <c r="G376" s="1048">
        <f>F376+-200000</f>
        <v>1542912</v>
      </c>
      <c r="H376" s="1048">
        <f>G376</f>
        <v>1542912</v>
      </c>
      <c r="I376" s="1048">
        <v>2529708</v>
      </c>
      <c r="J376" s="1048">
        <v>2678960.7719999999</v>
      </c>
      <c r="K376" s="1048">
        <v>2828982.5752320001</v>
      </c>
      <c r="L376" s="208"/>
      <c r="M376" s="209"/>
      <c r="N376" s="209"/>
      <c r="O376" s="209"/>
      <c r="P376" s="209"/>
      <c r="Q376" s="209"/>
      <c r="R376" s="209"/>
      <c r="S376" s="209"/>
      <c r="T376" s="209"/>
      <c r="U376" s="209"/>
      <c r="V376" s="209"/>
      <c r="W376" s="209"/>
    </row>
    <row r="377" spans="1:23" ht="11.25" customHeight="1" x14ac:dyDescent="0.25">
      <c r="A377" s="1165" t="s">
        <v>2432</v>
      </c>
      <c r="B377" s="1041"/>
      <c r="C377" s="1050">
        <v>0</v>
      </c>
      <c r="D377" s="1052">
        <v>56573.51</v>
      </c>
      <c r="E377" s="1052">
        <v>89508.01</v>
      </c>
      <c r="F377" s="1052">
        <v>0</v>
      </c>
      <c r="G377" s="1048">
        <v>103000</v>
      </c>
      <c r="H377" s="1048">
        <f t="shared" ref="H377:H410" si="52">G377</f>
        <v>103000</v>
      </c>
      <c r="I377" s="1048">
        <v>210809</v>
      </c>
      <c r="J377" s="1048">
        <v>223246.731</v>
      </c>
      <c r="K377" s="1048">
        <v>235748.54793600002</v>
      </c>
      <c r="L377" s="208"/>
      <c r="M377" s="209"/>
      <c r="N377" s="209"/>
      <c r="O377" s="209"/>
      <c r="P377" s="209"/>
      <c r="Q377" s="209"/>
      <c r="R377" s="209"/>
      <c r="S377" s="209"/>
      <c r="T377" s="209"/>
      <c r="U377" s="209"/>
      <c r="V377" s="209"/>
      <c r="W377" s="209"/>
    </row>
    <row r="378" spans="1:23" ht="11.25" customHeight="1" x14ac:dyDescent="0.25">
      <c r="A378" s="1165" t="s">
        <v>2457</v>
      </c>
      <c r="B378" s="1041"/>
      <c r="C378" s="1050">
        <v>0</v>
      </c>
      <c r="D378" s="1052">
        <v>404.6</v>
      </c>
      <c r="E378" s="1052">
        <v>4691.1000000000004</v>
      </c>
      <c r="F378" s="1052">
        <v>0</v>
      </c>
      <c r="G378" s="1048">
        <v>0</v>
      </c>
      <c r="H378" s="1048">
        <f t="shared" si="52"/>
        <v>0</v>
      </c>
      <c r="I378" s="1052">
        <v>783</v>
      </c>
      <c r="J378" s="1048">
        <v>829.197</v>
      </c>
      <c r="K378" s="1048">
        <v>875.63203200000009</v>
      </c>
      <c r="L378" s="208"/>
      <c r="M378" s="209"/>
      <c r="N378" s="209"/>
      <c r="O378" s="209"/>
      <c r="P378" s="209"/>
      <c r="Q378" s="209"/>
      <c r="R378" s="209"/>
      <c r="S378" s="209"/>
      <c r="T378" s="209"/>
      <c r="U378" s="209"/>
      <c r="V378" s="209"/>
      <c r="W378" s="209"/>
    </row>
    <row r="379" spans="1:23" ht="11.25" customHeight="1" x14ac:dyDescent="0.25">
      <c r="A379" s="1165" t="s">
        <v>2434</v>
      </c>
      <c r="B379" s="1041"/>
      <c r="C379" s="1050">
        <v>0</v>
      </c>
      <c r="D379" s="1052">
        <v>69403.360000000001</v>
      </c>
      <c r="E379" s="1052">
        <v>18558.2</v>
      </c>
      <c r="F379" s="1052">
        <v>50000</v>
      </c>
      <c r="G379" s="1048">
        <f>F379+-18000</f>
        <v>32000</v>
      </c>
      <c r="H379" s="1048">
        <f t="shared" si="52"/>
        <v>32000</v>
      </c>
      <c r="I379" s="1052"/>
      <c r="J379" s="1048">
        <f t="shared" ref="J379:J409" si="53">I379*1.059</f>
        <v>0</v>
      </c>
      <c r="K379" s="1048">
        <f t="shared" ref="K379:K409" si="54">J379*1.056</f>
        <v>0</v>
      </c>
      <c r="L379" s="208"/>
      <c r="M379" s="209"/>
      <c r="N379" s="209"/>
      <c r="O379" s="209"/>
      <c r="P379" s="209"/>
      <c r="Q379" s="209"/>
      <c r="R379" s="209"/>
      <c r="S379" s="209"/>
      <c r="T379" s="209"/>
      <c r="U379" s="209"/>
      <c r="V379" s="209"/>
      <c r="W379" s="209"/>
    </row>
    <row r="380" spans="1:23" ht="11.25" customHeight="1" x14ac:dyDescent="0.25">
      <c r="A380" s="1165" t="s">
        <v>2435</v>
      </c>
      <c r="B380" s="1041"/>
      <c r="C380" s="1050">
        <v>0</v>
      </c>
      <c r="D380" s="1052"/>
      <c r="E380" s="1052">
        <v>0</v>
      </c>
      <c r="F380" s="1052">
        <v>0</v>
      </c>
      <c r="G380" s="1048">
        <v>0</v>
      </c>
      <c r="H380" s="1048">
        <f t="shared" si="52"/>
        <v>0</v>
      </c>
      <c r="I380" s="1052"/>
      <c r="J380" s="1048">
        <f t="shared" si="53"/>
        <v>0</v>
      </c>
      <c r="K380" s="1048">
        <f t="shared" si="54"/>
        <v>0</v>
      </c>
      <c r="L380" s="208"/>
      <c r="M380" s="209"/>
      <c r="N380" s="209"/>
      <c r="O380" s="209"/>
      <c r="P380" s="209"/>
      <c r="Q380" s="209"/>
      <c r="R380" s="209"/>
      <c r="S380" s="209"/>
      <c r="T380" s="209"/>
      <c r="U380" s="209"/>
      <c r="V380" s="209"/>
      <c r="W380" s="209"/>
    </row>
    <row r="381" spans="1:23" ht="11.25" customHeight="1" x14ac:dyDescent="0.25">
      <c r="A381" s="1165" t="s">
        <v>2376</v>
      </c>
      <c r="B381" s="1041"/>
      <c r="C381" s="1050">
        <v>0</v>
      </c>
      <c r="D381" s="1052">
        <v>237614.11</v>
      </c>
      <c r="E381" s="1052">
        <v>278543.43</v>
      </c>
      <c r="F381" s="1052">
        <v>195000</v>
      </c>
      <c r="G381" s="1048">
        <f>F381+165000</f>
        <v>360000</v>
      </c>
      <c r="H381" s="1048">
        <f t="shared" si="52"/>
        <v>360000</v>
      </c>
      <c r="I381" s="1048">
        <v>526246</v>
      </c>
      <c r="J381" s="1048">
        <v>557294.51399999997</v>
      </c>
      <c r="K381" s="1048">
        <v>588503.00678399997</v>
      </c>
      <c r="L381" s="208"/>
      <c r="M381" s="209"/>
      <c r="N381" s="209"/>
      <c r="O381" s="209"/>
      <c r="P381" s="209"/>
      <c r="Q381" s="209"/>
      <c r="R381" s="209"/>
      <c r="S381" s="209"/>
      <c r="T381" s="209"/>
      <c r="U381" s="209"/>
      <c r="V381" s="209"/>
      <c r="W381" s="209"/>
    </row>
    <row r="382" spans="1:23" ht="11.25" customHeight="1" x14ac:dyDescent="0.25">
      <c r="A382" s="1165" t="s">
        <v>2377</v>
      </c>
      <c r="B382" s="1041"/>
      <c r="C382" s="1050">
        <v>0</v>
      </c>
      <c r="D382" s="1052">
        <v>70421.399999999994</v>
      </c>
      <c r="E382" s="1052">
        <v>77612.570000000007</v>
      </c>
      <c r="F382" s="1052">
        <v>65000</v>
      </c>
      <c r="G382" s="1048">
        <f>F382+11400</f>
        <v>76400</v>
      </c>
      <c r="H382" s="1048">
        <f t="shared" si="52"/>
        <v>76400</v>
      </c>
      <c r="I382" s="1048">
        <v>107494</v>
      </c>
      <c r="J382" s="1048">
        <v>113836.14599999999</v>
      </c>
      <c r="K382" s="1048">
        <v>120210.970176</v>
      </c>
      <c r="L382" s="208"/>
      <c r="M382" s="209"/>
      <c r="N382" s="209"/>
      <c r="O382" s="209"/>
      <c r="P382" s="209"/>
      <c r="Q382" s="209"/>
      <c r="R382" s="209"/>
      <c r="S382" s="209"/>
      <c r="T382" s="209"/>
      <c r="U382" s="209"/>
      <c r="V382" s="209"/>
      <c r="W382" s="209"/>
    </row>
    <row r="383" spans="1:23" ht="11.25" customHeight="1" x14ac:dyDescent="0.25">
      <c r="A383" s="1165" t="s">
        <v>2378</v>
      </c>
      <c r="B383" s="1041"/>
      <c r="C383" s="1050">
        <v>0</v>
      </c>
      <c r="D383" s="1052"/>
      <c r="E383" s="1052">
        <v>0</v>
      </c>
      <c r="F383" s="1052">
        <v>0</v>
      </c>
      <c r="G383" s="1048">
        <v>0</v>
      </c>
      <c r="H383" s="1048">
        <f t="shared" si="52"/>
        <v>0</v>
      </c>
      <c r="I383" s="1052"/>
      <c r="J383" s="1048">
        <f t="shared" si="53"/>
        <v>0</v>
      </c>
      <c r="K383" s="1048">
        <f t="shared" si="54"/>
        <v>0</v>
      </c>
      <c r="L383" s="208"/>
      <c r="M383" s="209"/>
      <c r="N383" s="209"/>
      <c r="O383" s="209"/>
      <c r="P383" s="209"/>
      <c r="Q383" s="209"/>
      <c r="R383" s="209"/>
      <c r="S383" s="209"/>
      <c r="T383" s="209"/>
      <c r="U383" s="209"/>
      <c r="V383" s="209"/>
      <c r="W383" s="209"/>
    </row>
    <row r="384" spans="1:23" ht="11.25" customHeight="1" x14ac:dyDescent="0.25">
      <c r="A384" s="1165" t="s">
        <v>2379</v>
      </c>
      <c r="B384" s="1041"/>
      <c r="C384" s="1050">
        <v>0</v>
      </c>
      <c r="D384" s="1052"/>
      <c r="E384" s="1052">
        <v>687</v>
      </c>
      <c r="F384" s="1052">
        <v>0</v>
      </c>
      <c r="G384" s="1048">
        <v>0</v>
      </c>
      <c r="H384" s="1048">
        <f t="shared" si="52"/>
        <v>0</v>
      </c>
      <c r="I384" s="1052"/>
      <c r="J384" s="1048">
        <f t="shared" si="53"/>
        <v>0</v>
      </c>
      <c r="K384" s="1048">
        <f t="shared" si="54"/>
        <v>0</v>
      </c>
      <c r="L384" s="208"/>
      <c r="M384" s="209"/>
      <c r="N384" s="209"/>
      <c r="O384" s="209"/>
      <c r="P384" s="209"/>
      <c r="Q384" s="209"/>
      <c r="R384" s="209"/>
      <c r="S384" s="209"/>
      <c r="T384" s="209"/>
      <c r="U384" s="209"/>
      <c r="V384" s="209"/>
      <c r="W384" s="209"/>
    </row>
    <row r="385" spans="1:23" ht="11.25" customHeight="1" x14ac:dyDescent="0.25">
      <c r="A385" s="1165" t="s">
        <v>2380</v>
      </c>
      <c r="B385" s="1041"/>
      <c r="C385" s="1050">
        <v>0</v>
      </c>
      <c r="D385" s="1052">
        <v>8405.7099999999991</v>
      </c>
      <c r="E385" s="1052">
        <v>11309.56</v>
      </c>
      <c r="F385" s="1052">
        <v>71000</v>
      </c>
      <c r="G385" s="1048">
        <f>F385+-56000</f>
        <v>15000</v>
      </c>
      <c r="H385" s="1048">
        <f t="shared" si="52"/>
        <v>15000</v>
      </c>
      <c r="I385" s="1048">
        <v>25257</v>
      </c>
      <c r="J385" s="1048">
        <v>26747.162999999997</v>
      </c>
      <c r="K385" s="1048">
        <v>28245.004127999997</v>
      </c>
      <c r="L385" s="208"/>
      <c r="M385" s="209"/>
      <c r="N385" s="209"/>
      <c r="O385" s="209"/>
      <c r="P385" s="209"/>
      <c r="Q385" s="209"/>
      <c r="R385" s="209"/>
      <c r="S385" s="209"/>
      <c r="T385" s="209"/>
      <c r="U385" s="209"/>
      <c r="V385" s="209"/>
      <c r="W385" s="209"/>
    </row>
    <row r="386" spans="1:23" ht="11.25" customHeight="1" x14ac:dyDescent="0.25">
      <c r="A386" s="1165" t="s">
        <v>2381</v>
      </c>
      <c r="B386" s="1041"/>
      <c r="C386" s="1050">
        <v>0</v>
      </c>
      <c r="D386" s="1052"/>
      <c r="E386" s="1052">
        <v>0</v>
      </c>
      <c r="F386" s="1052">
        <v>0</v>
      </c>
      <c r="G386" s="1048">
        <v>0</v>
      </c>
      <c r="H386" s="1048">
        <f t="shared" si="52"/>
        <v>0</v>
      </c>
      <c r="I386" s="1052"/>
      <c r="J386" s="1048">
        <f t="shared" si="53"/>
        <v>0</v>
      </c>
      <c r="K386" s="1048">
        <f t="shared" si="54"/>
        <v>0</v>
      </c>
      <c r="L386" s="208"/>
      <c r="M386" s="209"/>
      <c r="N386" s="209"/>
      <c r="O386" s="209"/>
      <c r="P386" s="209"/>
      <c r="Q386" s="209"/>
      <c r="R386" s="209"/>
      <c r="S386" s="209"/>
      <c r="T386" s="209"/>
      <c r="U386" s="209"/>
      <c r="V386" s="209"/>
      <c r="W386" s="209"/>
    </row>
    <row r="387" spans="1:23" ht="11.25" customHeight="1" x14ac:dyDescent="0.25">
      <c r="A387" s="1165" t="s">
        <v>2447</v>
      </c>
      <c r="B387" s="1041"/>
      <c r="C387" s="1050">
        <v>0</v>
      </c>
      <c r="D387" s="1052">
        <v>146000</v>
      </c>
      <c r="E387" s="1052">
        <v>370000</v>
      </c>
      <c r="F387" s="1052">
        <v>250000</v>
      </c>
      <c r="G387" s="1048">
        <f>F387+-200000</f>
        <v>50000</v>
      </c>
      <c r="H387" s="1048">
        <f t="shared" si="52"/>
        <v>50000</v>
      </c>
      <c r="I387" s="1048">
        <v>60190</v>
      </c>
      <c r="J387" s="1048">
        <v>63741.21</v>
      </c>
      <c r="K387" s="1048">
        <v>67310.71776</v>
      </c>
      <c r="L387" s="208"/>
      <c r="M387" s="209"/>
      <c r="N387" s="209"/>
      <c r="O387" s="209"/>
      <c r="P387" s="209"/>
      <c r="Q387" s="209"/>
      <c r="R387" s="209"/>
      <c r="S387" s="209"/>
      <c r="T387" s="209"/>
      <c r="U387" s="209"/>
      <c r="V387" s="209"/>
      <c r="W387" s="209"/>
    </row>
    <row r="388" spans="1:23" ht="11.25" customHeight="1" x14ac:dyDescent="0.25">
      <c r="A388" s="1165" t="s">
        <v>2446</v>
      </c>
      <c r="B388" s="1041"/>
      <c r="C388" s="1050">
        <v>0</v>
      </c>
      <c r="D388" s="1052">
        <v>0</v>
      </c>
      <c r="E388" s="1052">
        <v>4800</v>
      </c>
      <c r="F388" s="1052">
        <v>1950</v>
      </c>
      <c r="G388" s="1048">
        <f>F388+17250</f>
        <v>19200</v>
      </c>
      <c r="H388" s="1048">
        <f t="shared" si="52"/>
        <v>19200</v>
      </c>
      <c r="I388" s="1048">
        <v>14400</v>
      </c>
      <c r="J388" s="1048">
        <v>15249.599999999999</v>
      </c>
      <c r="K388" s="1048">
        <v>16103.577599999999</v>
      </c>
      <c r="L388" s="208"/>
      <c r="M388" s="209"/>
      <c r="N388" s="209"/>
      <c r="O388" s="209"/>
      <c r="P388" s="209"/>
      <c r="Q388" s="209"/>
      <c r="R388" s="209"/>
      <c r="S388" s="209"/>
      <c r="T388" s="209"/>
      <c r="U388" s="209"/>
      <c r="V388" s="209"/>
      <c r="W388" s="209"/>
    </row>
    <row r="389" spans="1:23" ht="11.25" customHeight="1" x14ac:dyDescent="0.25">
      <c r="A389" s="1165" t="s">
        <v>2494</v>
      </c>
      <c r="B389" s="1041"/>
      <c r="C389" s="1050">
        <v>0</v>
      </c>
      <c r="D389" s="1052"/>
      <c r="E389" s="1052">
        <v>0</v>
      </c>
      <c r="F389" s="1052">
        <v>0</v>
      </c>
      <c r="G389" s="1048">
        <v>0</v>
      </c>
      <c r="H389" s="1048">
        <f t="shared" si="52"/>
        <v>0</v>
      </c>
      <c r="I389" s="1048"/>
      <c r="J389" s="1048">
        <f t="shared" si="53"/>
        <v>0</v>
      </c>
      <c r="K389" s="1048">
        <f t="shared" si="54"/>
        <v>0</v>
      </c>
      <c r="L389" s="208"/>
      <c r="M389" s="209"/>
      <c r="N389" s="209"/>
      <c r="O389" s="209"/>
      <c r="P389" s="209"/>
      <c r="Q389" s="209"/>
      <c r="R389" s="209"/>
      <c r="S389" s="209"/>
      <c r="T389" s="209"/>
      <c r="U389" s="209"/>
      <c r="V389" s="209"/>
      <c r="W389" s="209"/>
    </row>
    <row r="390" spans="1:23" ht="11.25" customHeight="1" x14ac:dyDescent="0.25">
      <c r="A390" s="1165" t="s">
        <v>2385</v>
      </c>
      <c r="B390" s="1041"/>
      <c r="C390" s="1050">
        <v>0</v>
      </c>
      <c r="D390" s="1052">
        <v>136702.04</v>
      </c>
      <c r="E390" s="1052">
        <v>448489.53</v>
      </c>
      <c r="F390" s="1052">
        <v>250000</v>
      </c>
      <c r="G390" s="1048">
        <f>F390+-190000</f>
        <v>60000</v>
      </c>
      <c r="H390" s="1048">
        <f t="shared" si="52"/>
        <v>60000</v>
      </c>
      <c r="I390" s="1048">
        <v>80000</v>
      </c>
      <c r="J390" s="1048">
        <v>84720</v>
      </c>
      <c r="K390" s="1048">
        <v>89464.320000000007</v>
      </c>
      <c r="L390" s="208"/>
      <c r="M390" s="209"/>
      <c r="N390" s="209"/>
      <c r="O390" s="209"/>
      <c r="P390" s="209"/>
      <c r="Q390" s="209"/>
      <c r="R390" s="209"/>
      <c r="S390" s="209"/>
      <c r="T390" s="209"/>
      <c r="U390" s="209"/>
      <c r="V390" s="209"/>
      <c r="W390" s="209"/>
    </row>
    <row r="391" spans="1:23" ht="11.25" customHeight="1" x14ac:dyDescent="0.25">
      <c r="A391" s="1165" t="s">
        <v>2387</v>
      </c>
      <c r="B391" s="1041"/>
      <c r="C391" s="1050">
        <v>0</v>
      </c>
      <c r="D391" s="1050">
        <v>0</v>
      </c>
      <c r="E391" s="1052">
        <v>0</v>
      </c>
      <c r="F391" s="1052">
        <v>0</v>
      </c>
      <c r="G391" s="1048">
        <v>0</v>
      </c>
      <c r="H391" s="1048">
        <f t="shared" si="52"/>
        <v>0</v>
      </c>
      <c r="I391" s="1052"/>
      <c r="J391" s="1048">
        <f t="shared" si="53"/>
        <v>0</v>
      </c>
      <c r="K391" s="1048">
        <f t="shared" si="54"/>
        <v>0</v>
      </c>
      <c r="L391" s="208"/>
      <c r="M391" s="209"/>
      <c r="N391" s="209"/>
      <c r="O391" s="209"/>
      <c r="P391" s="209"/>
      <c r="Q391" s="209"/>
      <c r="R391" s="209"/>
      <c r="S391" s="209"/>
      <c r="T391" s="209"/>
      <c r="U391" s="209"/>
      <c r="V391" s="209"/>
      <c r="W391" s="209"/>
    </row>
    <row r="392" spans="1:23" ht="11.25" customHeight="1" x14ac:dyDescent="0.25">
      <c r="A392" s="1165" t="s">
        <v>2495</v>
      </c>
      <c r="B392" s="1041"/>
      <c r="C392" s="1050">
        <v>0</v>
      </c>
      <c r="D392" s="1050">
        <v>0</v>
      </c>
      <c r="E392" s="1052">
        <v>0</v>
      </c>
      <c r="F392" s="1052">
        <v>0</v>
      </c>
      <c r="G392" s="1048">
        <v>0</v>
      </c>
      <c r="H392" s="1048">
        <f t="shared" si="52"/>
        <v>0</v>
      </c>
      <c r="I392" s="1052"/>
      <c r="J392" s="1048">
        <f t="shared" si="53"/>
        <v>0</v>
      </c>
      <c r="K392" s="1048">
        <f t="shared" si="54"/>
        <v>0</v>
      </c>
      <c r="L392" s="208"/>
      <c r="M392" s="209"/>
      <c r="N392" s="209"/>
      <c r="O392" s="209"/>
      <c r="P392" s="209"/>
      <c r="Q392" s="209"/>
      <c r="R392" s="209"/>
      <c r="S392" s="209"/>
      <c r="T392" s="209"/>
      <c r="U392" s="209"/>
      <c r="V392" s="209"/>
      <c r="W392" s="209"/>
    </row>
    <row r="393" spans="1:23" ht="11.25" customHeight="1" x14ac:dyDescent="0.25">
      <c r="A393" s="1165" t="s">
        <v>2461</v>
      </c>
      <c r="B393" s="1041"/>
      <c r="C393" s="1050">
        <v>0</v>
      </c>
      <c r="D393" s="1050">
        <v>0</v>
      </c>
      <c r="E393" s="1052">
        <v>0</v>
      </c>
      <c r="F393" s="1052">
        <v>0</v>
      </c>
      <c r="G393" s="1048">
        <v>0</v>
      </c>
      <c r="H393" s="1048">
        <f t="shared" si="52"/>
        <v>0</v>
      </c>
      <c r="I393" s="1048">
        <v>0</v>
      </c>
      <c r="J393" s="1048">
        <f t="shared" si="53"/>
        <v>0</v>
      </c>
      <c r="K393" s="1048">
        <f t="shared" si="54"/>
        <v>0</v>
      </c>
      <c r="L393" s="208"/>
      <c r="M393" s="209"/>
      <c r="N393" s="209"/>
      <c r="O393" s="209"/>
      <c r="P393" s="209"/>
      <c r="Q393" s="209"/>
      <c r="R393" s="209"/>
      <c r="S393" s="209"/>
      <c r="T393" s="209"/>
      <c r="U393" s="209"/>
      <c r="V393" s="209"/>
      <c r="W393" s="209"/>
    </row>
    <row r="394" spans="1:23" ht="11.25" customHeight="1" x14ac:dyDescent="0.25">
      <c r="A394" s="1165" t="s">
        <v>2389</v>
      </c>
      <c r="B394" s="1041"/>
      <c r="C394" s="1050">
        <v>0</v>
      </c>
      <c r="D394" s="1050">
        <v>0</v>
      </c>
      <c r="E394" s="1052">
        <v>0</v>
      </c>
      <c r="F394" s="1052">
        <v>0</v>
      </c>
      <c r="G394" s="1048">
        <v>0</v>
      </c>
      <c r="H394" s="1048">
        <f t="shared" si="52"/>
        <v>0</v>
      </c>
      <c r="I394" s="1052"/>
      <c r="J394" s="1048">
        <f t="shared" si="53"/>
        <v>0</v>
      </c>
      <c r="K394" s="1048">
        <f t="shared" si="54"/>
        <v>0</v>
      </c>
      <c r="L394" s="208"/>
      <c r="M394" s="209"/>
      <c r="N394" s="209"/>
      <c r="O394" s="209"/>
      <c r="P394" s="209"/>
      <c r="Q394" s="209"/>
      <c r="R394" s="209"/>
      <c r="S394" s="209"/>
      <c r="T394" s="209"/>
      <c r="U394" s="209"/>
      <c r="V394" s="209"/>
      <c r="W394" s="209"/>
    </row>
    <row r="395" spans="1:23" ht="11.25" customHeight="1" x14ac:dyDescent="0.25">
      <c r="A395" s="1165" t="s">
        <v>2390</v>
      </c>
      <c r="B395" s="1041"/>
      <c r="C395" s="1050">
        <v>0</v>
      </c>
      <c r="D395" s="1052">
        <v>56625.120000000003</v>
      </c>
      <c r="E395" s="1052">
        <v>200838.7</v>
      </c>
      <c r="F395" s="1052">
        <v>130414</v>
      </c>
      <c r="G395" s="1048">
        <f>F395+-60000</f>
        <v>70414</v>
      </c>
      <c r="H395" s="1048">
        <f t="shared" si="52"/>
        <v>70414</v>
      </c>
      <c r="I395" s="1048">
        <v>100000</v>
      </c>
      <c r="J395" s="1048">
        <v>105900</v>
      </c>
      <c r="K395" s="1048">
        <v>111830.40000000001</v>
      </c>
      <c r="L395" s="208"/>
      <c r="M395" s="209"/>
      <c r="N395" s="209"/>
      <c r="O395" s="209"/>
      <c r="P395" s="209"/>
      <c r="Q395" s="209"/>
      <c r="R395" s="209"/>
      <c r="S395" s="209"/>
      <c r="T395" s="209"/>
      <c r="U395" s="209"/>
      <c r="V395" s="209"/>
      <c r="W395" s="209"/>
    </row>
    <row r="396" spans="1:23" ht="11.25" customHeight="1" x14ac:dyDescent="0.25">
      <c r="A396" s="1165" t="s">
        <v>2391</v>
      </c>
      <c r="B396" s="1041"/>
      <c r="C396" s="1050">
        <v>0</v>
      </c>
      <c r="D396" s="1052">
        <v>17420.310000000001</v>
      </c>
      <c r="E396" s="1052">
        <v>16740.97</v>
      </c>
      <c r="F396" s="1052">
        <v>18500</v>
      </c>
      <c r="G396" s="1048">
        <f>F396</f>
        <v>18500</v>
      </c>
      <c r="H396" s="1048">
        <f t="shared" si="52"/>
        <v>18500</v>
      </c>
      <c r="I396" s="1048">
        <v>25297</v>
      </c>
      <c r="J396" s="1048">
        <v>26789.522999999997</v>
      </c>
      <c r="K396" s="1048">
        <v>28289.736288</v>
      </c>
      <c r="L396" s="208"/>
      <c r="M396" s="209"/>
      <c r="N396" s="209"/>
      <c r="O396" s="209"/>
      <c r="P396" s="209"/>
      <c r="Q396" s="209"/>
      <c r="R396" s="209"/>
      <c r="S396" s="209"/>
      <c r="T396" s="209"/>
      <c r="U396" s="209"/>
      <c r="V396" s="209"/>
      <c r="W396" s="209"/>
    </row>
    <row r="397" spans="1:23" ht="11.25" customHeight="1" x14ac:dyDescent="0.25">
      <c r="A397" s="1165" t="s">
        <v>2392</v>
      </c>
      <c r="B397" s="1041"/>
      <c r="C397" s="1050">
        <v>0</v>
      </c>
      <c r="D397" s="1050">
        <v>0</v>
      </c>
      <c r="E397" s="1052">
        <v>0</v>
      </c>
      <c r="F397" s="1052">
        <v>0</v>
      </c>
      <c r="G397" s="1048">
        <v>0</v>
      </c>
      <c r="H397" s="1048">
        <f t="shared" si="52"/>
        <v>0</v>
      </c>
      <c r="I397" s="1052"/>
      <c r="J397" s="1048">
        <f t="shared" si="53"/>
        <v>0</v>
      </c>
      <c r="K397" s="1048">
        <f t="shared" si="54"/>
        <v>0</v>
      </c>
      <c r="L397" s="208"/>
      <c r="M397" s="209"/>
      <c r="N397" s="209"/>
      <c r="O397" s="209"/>
      <c r="P397" s="209"/>
      <c r="Q397" s="209"/>
      <c r="R397" s="209"/>
      <c r="S397" s="209"/>
      <c r="T397" s="209"/>
      <c r="U397" s="209"/>
      <c r="V397" s="209"/>
      <c r="W397" s="209"/>
    </row>
    <row r="398" spans="1:23" ht="11.25" customHeight="1" x14ac:dyDescent="0.25">
      <c r="A398" s="1165" t="s">
        <v>2496</v>
      </c>
      <c r="B398" s="1041"/>
      <c r="C398" s="1050">
        <v>0</v>
      </c>
      <c r="D398" s="1050">
        <v>0</v>
      </c>
      <c r="E398" s="1052">
        <v>0</v>
      </c>
      <c r="F398" s="1052">
        <v>0</v>
      </c>
      <c r="G398" s="1048">
        <v>0</v>
      </c>
      <c r="H398" s="1048">
        <f t="shared" si="52"/>
        <v>0</v>
      </c>
      <c r="I398" s="1052"/>
      <c r="J398" s="1048">
        <f t="shared" si="53"/>
        <v>0</v>
      </c>
      <c r="K398" s="1048">
        <f t="shared" si="54"/>
        <v>0</v>
      </c>
      <c r="L398" s="208"/>
      <c r="M398" s="209"/>
      <c r="N398" s="209"/>
      <c r="O398" s="209"/>
      <c r="P398" s="209"/>
      <c r="Q398" s="209"/>
      <c r="R398" s="209"/>
      <c r="S398" s="209"/>
      <c r="T398" s="209"/>
      <c r="U398" s="209"/>
      <c r="V398" s="209"/>
      <c r="W398" s="209"/>
    </row>
    <row r="399" spans="1:23" ht="11.25" customHeight="1" x14ac:dyDescent="0.25">
      <c r="A399" s="1165" t="s">
        <v>2463</v>
      </c>
      <c r="B399" s="1041"/>
      <c r="C399" s="1050">
        <v>0</v>
      </c>
      <c r="D399" s="1050">
        <v>0</v>
      </c>
      <c r="E399" s="1052">
        <v>120000</v>
      </c>
      <c r="F399" s="1052">
        <v>120000</v>
      </c>
      <c r="G399" s="1048">
        <f>F399+-90000</f>
        <v>30000</v>
      </c>
      <c r="H399" s="1048">
        <f t="shared" si="52"/>
        <v>30000</v>
      </c>
      <c r="I399" s="1052">
        <v>35000</v>
      </c>
      <c r="J399" s="1048">
        <v>37065</v>
      </c>
      <c r="K399" s="1048">
        <v>39140.639999999999</v>
      </c>
      <c r="L399" s="208"/>
      <c r="M399" s="209"/>
      <c r="N399" s="209"/>
      <c r="O399" s="209"/>
      <c r="P399" s="209"/>
      <c r="Q399" s="209"/>
      <c r="R399" s="209"/>
      <c r="S399" s="209"/>
      <c r="T399" s="209"/>
      <c r="U399" s="209"/>
      <c r="V399" s="209"/>
      <c r="W399" s="209"/>
    </row>
    <row r="400" spans="1:23" ht="11.25" customHeight="1" x14ac:dyDescent="0.25">
      <c r="A400" s="1165" t="s">
        <v>2398</v>
      </c>
      <c r="B400" s="1041"/>
      <c r="C400" s="1050">
        <v>0</v>
      </c>
      <c r="D400" s="1050">
        <v>0</v>
      </c>
      <c r="E400" s="1052"/>
      <c r="F400" s="1052">
        <v>0</v>
      </c>
      <c r="G400" s="1048">
        <v>0</v>
      </c>
      <c r="H400" s="1048">
        <f t="shared" si="52"/>
        <v>0</v>
      </c>
      <c r="I400" s="1052"/>
      <c r="J400" s="1048">
        <f t="shared" si="53"/>
        <v>0</v>
      </c>
      <c r="K400" s="1048">
        <f t="shared" si="54"/>
        <v>0</v>
      </c>
      <c r="L400" s="208"/>
      <c r="M400" s="209"/>
      <c r="N400" s="209"/>
      <c r="O400" s="209"/>
      <c r="P400" s="209"/>
      <c r="Q400" s="209"/>
      <c r="R400" s="209"/>
      <c r="S400" s="209"/>
      <c r="T400" s="209"/>
      <c r="U400" s="209"/>
      <c r="V400" s="209"/>
      <c r="W400" s="209"/>
    </row>
    <row r="401" spans="1:23" ht="11.25" customHeight="1" x14ac:dyDescent="0.25">
      <c r="A401" s="1165" t="s">
        <v>2400</v>
      </c>
      <c r="B401" s="1041"/>
      <c r="C401" s="1050">
        <v>0</v>
      </c>
      <c r="D401" s="1052">
        <v>8533</v>
      </c>
      <c r="E401" s="1052">
        <v>9519.5499999999993</v>
      </c>
      <c r="F401" s="1052">
        <v>50000</v>
      </c>
      <c r="G401" s="1048">
        <f>F401+-19000</f>
        <v>31000</v>
      </c>
      <c r="H401" s="1048">
        <f t="shared" si="52"/>
        <v>31000</v>
      </c>
      <c r="I401" s="1048">
        <v>30000</v>
      </c>
      <c r="J401" s="1048">
        <v>31770</v>
      </c>
      <c r="K401" s="1048">
        <v>33549.120000000003</v>
      </c>
      <c r="L401" s="208"/>
      <c r="M401" s="209"/>
      <c r="N401" s="209"/>
      <c r="O401" s="209"/>
      <c r="P401" s="209"/>
      <c r="Q401" s="209"/>
      <c r="R401" s="209"/>
      <c r="S401" s="209"/>
      <c r="T401" s="209"/>
      <c r="U401" s="209"/>
      <c r="V401" s="209"/>
      <c r="W401" s="209"/>
    </row>
    <row r="402" spans="1:23" ht="11.25" customHeight="1" x14ac:dyDescent="0.25">
      <c r="A402" s="1165" t="s">
        <v>2497</v>
      </c>
      <c r="B402" s="1041"/>
      <c r="C402" s="1050">
        <v>0</v>
      </c>
      <c r="D402" s="1052">
        <v>0</v>
      </c>
      <c r="E402" s="1052"/>
      <c r="F402" s="1052">
        <v>0</v>
      </c>
      <c r="G402" s="1048">
        <v>0</v>
      </c>
      <c r="H402" s="1048">
        <f t="shared" si="52"/>
        <v>0</v>
      </c>
      <c r="I402" s="1052"/>
      <c r="J402" s="1048">
        <f t="shared" si="53"/>
        <v>0</v>
      </c>
      <c r="K402" s="1048">
        <f t="shared" si="54"/>
        <v>0</v>
      </c>
      <c r="L402" s="208"/>
      <c r="M402" s="209"/>
      <c r="N402" s="209"/>
      <c r="O402" s="209"/>
      <c r="P402" s="209"/>
      <c r="Q402" s="209"/>
      <c r="R402" s="209"/>
      <c r="S402" s="209"/>
      <c r="T402" s="209"/>
      <c r="U402" s="209"/>
      <c r="V402" s="209"/>
      <c r="W402" s="209"/>
    </row>
    <row r="403" spans="1:23" ht="11.25" customHeight="1" x14ac:dyDescent="0.25">
      <c r="A403" s="1165" t="s">
        <v>2407</v>
      </c>
      <c r="B403" s="1041"/>
      <c r="C403" s="1050">
        <v>0</v>
      </c>
      <c r="D403" s="1052">
        <v>129140.86</v>
      </c>
      <c r="E403" s="1052">
        <v>102315.78</v>
      </c>
      <c r="F403" s="1052">
        <v>220000</v>
      </c>
      <c r="G403" s="1048">
        <f>F403+30000</f>
        <v>250000</v>
      </c>
      <c r="H403" s="1048">
        <f t="shared" si="52"/>
        <v>250000</v>
      </c>
      <c r="I403" s="1048">
        <v>50000</v>
      </c>
      <c r="J403" s="1048">
        <v>52950</v>
      </c>
      <c r="K403" s="1048">
        <v>55915.200000000004</v>
      </c>
      <c r="L403" s="208"/>
      <c r="M403" s="209"/>
      <c r="N403" s="209"/>
      <c r="O403" s="209"/>
      <c r="P403" s="209"/>
      <c r="Q403" s="209"/>
      <c r="R403" s="209"/>
      <c r="S403" s="209"/>
      <c r="T403" s="209"/>
      <c r="U403" s="209"/>
      <c r="V403" s="209"/>
      <c r="W403" s="209"/>
    </row>
    <row r="404" spans="1:23" ht="11.25" customHeight="1" x14ac:dyDescent="0.25">
      <c r="A404" s="1165" t="s">
        <v>2410</v>
      </c>
      <c r="B404" s="1041"/>
      <c r="C404" s="1050">
        <v>0</v>
      </c>
      <c r="D404" s="1052">
        <v>137512.5</v>
      </c>
      <c r="E404" s="1052">
        <v>74964.12</v>
      </c>
      <c r="F404" s="1052">
        <v>100000</v>
      </c>
      <c r="G404" s="1048">
        <f>F404+-80000</f>
        <v>20000</v>
      </c>
      <c r="H404" s="1048">
        <f t="shared" si="52"/>
        <v>20000</v>
      </c>
      <c r="I404" s="1048">
        <v>0</v>
      </c>
      <c r="J404" s="1048">
        <f t="shared" si="53"/>
        <v>0</v>
      </c>
      <c r="K404" s="1048">
        <f t="shared" si="54"/>
        <v>0</v>
      </c>
      <c r="L404" s="208"/>
      <c r="M404" s="209"/>
      <c r="N404" s="209"/>
      <c r="O404" s="209"/>
      <c r="P404" s="209"/>
      <c r="Q404" s="209"/>
      <c r="R404" s="209"/>
      <c r="S404" s="209"/>
      <c r="T404" s="209"/>
      <c r="U404" s="209"/>
      <c r="V404" s="209"/>
      <c r="W404" s="209"/>
    </row>
    <row r="405" spans="1:23" ht="11.25" customHeight="1" x14ac:dyDescent="0.25">
      <c r="A405" s="1165" t="s">
        <v>2411</v>
      </c>
      <c r="B405" s="1041"/>
      <c r="C405" s="1050">
        <v>0</v>
      </c>
      <c r="D405" s="1052">
        <v>32072.04</v>
      </c>
      <c r="E405" s="1052">
        <v>207590.59</v>
      </c>
      <c r="F405" s="1052">
        <v>300000</v>
      </c>
      <c r="G405" s="1048">
        <f>F405</f>
        <v>300000</v>
      </c>
      <c r="H405" s="1048">
        <f t="shared" si="52"/>
        <v>300000</v>
      </c>
      <c r="I405" s="1048">
        <v>50000</v>
      </c>
      <c r="J405" s="1048">
        <v>52950</v>
      </c>
      <c r="K405" s="1048">
        <v>55915.200000000004</v>
      </c>
      <c r="L405" s="208"/>
      <c r="M405" s="209"/>
      <c r="N405" s="209"/>
      <c r="O405" s="209"/>
      <c r="P405" s="209"/>
      <c r="Q405" s="209"/>
      <c r="R405" s="209"/>
      <c r="S405" s="209"/>
      <c r="T405" s="209"/>
      <c r="U405" s="209"/>
      <c r="V405" s="209"/>
      <c r="W405" s="209"/>
    </row>
    <row r="406" spans="1:23" ht="11.25" customHeight="1" x14ac:dyDescent="0.25">
      <c r="A406" s="1165" t="s">
        <v>2415</v>
      </c>
      <c r="B406" s="1041"/>
      <c r="C406" s="1050">
        <v>0</v>
      </c>
      <c r="D406" s="1050">
        <v>0</v>
      </c>
      <c r="E406" s="1052">
        <v>0</v>
      </c>
      <c r="F406" s="1052">
        <v>0</v>
      </c>
      <c r="G406" s="1048">
        <v>0</v>
      </c>
      <c r="H406" s="1048">
        <f t="shared" si="52"/>
        <v>0</v>
      </c>
      <c r="I406" s="1052"/>
      <c r="J406" s="1048">
        <f t="shared" si="53"/>
        <v>0</v>
      </c>
      <c r="K406" s="1048">
        <f t="shared" si="54"/>
        <v>0</v>
      </c>
      <c r="L406" s="208"/>
      <c r="M406" s="209"/>
      <c r="N406" s="209"/>
      <c r="O406" s="209"/>
      <c r="P406" s="209"/>
      <c r="Q406" s="209"/>
      <c r="R406" s="209"/>
      <c r="S406" s="209"/>
      <c r="T406" s="209"/>
      <c r="U406" s="209"/>
      <c r="V406" s="209"/>
      <c r="W406" s="209"/>
    </row>
    <row r="407" spans="1:23" ht="11.25" customHeight="1" x14ac:dyDescent="0.25">
      <c r="A407" s="1165" t="s">
        <v>2498</v>
      </c>
      <c r="B407" s="1041"/>
      <c r="C407" s="1050">
        <v>0</v>
      </c>
      <c r="D407" s="1050">
        <v>0</v>
      </c>
      <c r="E407" s="1052">
        <v>0</v>
      </c>
      <c r="F407" s="1052">
        <v>0</v>
      </c>
      <c r="G407" s="1048">
        <v>0</v>
      </c>
      <c r="H407" s="1048">
        <f t="shared" si="52"/>
        <v>0</v>
      </c>
      <c r="I407" s="1052"/>
      <c r="J407" s="1048">
        <f t="shared" si="53"/>
        <v>0</v>
      </c>
      <c r="K407" s="1048">
        <f t="shared" si="54"/>
        <v>0</v>
      </c>
      <c r="L407" s="208"/>
      <c r="M407" s="209"/>
      <c r="N407" s="209"/>
      <c r="O407" s="209"/>
      <c r="P407" s="209"/>
      <c r="Q407" s="209"/>
      <c r="R407" s="209"/>
      <c r="S407" s="209"/>
      <c r="T407" s="209"/>
      <c r="U407" s="209"/>
      <c r="V407" s="209"/>
      <c r="W407" s="209"/>
    </row>
    <row r="408" spans="1:23" ht="11.25" customHeight="1" x14ac:dyDescent="0.25">
      <c r="A408" s="1165" t="s">
        <v>2499</v>
      </c>
      <c r="B408" s="1041"/>
      <c r="C408" s="1050">
        <v>0</v>
      </c>
      <c r="D408" s="1052">
        <v>2863000</v>
      </c>
      <c r="E408" s="1052">
        <v>0</v>
      </c>
      <c r="F408" s="1052">
        <v>0</v>
      </c>
      <c r="G408" s="1048">
        <v>0</v>
      </c>
      <c r="H408" s="1048">
        <f t="shared" si="52"/>
        <v>0</v>
      </c>
      <c r="I408" s="1052"/>
      <c r="J408" s="1048">
        <f t="shared" si="53"/>
        <v>0</v>
      </c>
      <c r="K408" s="1048">
        <f t="shared" si="54"/>
        <v>0</v>
      </c>
      <c r="L408" s="208"/>
      <c r="M408" s="209"/>
      <c r="N408" s="209"/>
      <c r="O408" s="209"/>
      <c r="P408" s="209"/>
      <c r="Q408" s="209"/>
      <c r="R408" s="209"/>
      <c r="S408" s="209"/>
      <c r="T408" s="209"/>
      <c r="U408" s="209"/>
      <c r="V408" s="209"/>
      <c r="W408" s="209"/>
    </row>
    <row r="409" spans="1:23" ht="11.25" customHeight="1" x14ac:dyDescent="0.25">
      <c r="A409" s="1165" t="s">
        <v>2500</v>
      </c>
      <c r="B409" s="1041"/>
      <c r="C409" s="1050">
        <v>0</v>
      </c>
      <c r="D409" s="1052">
        <v>217250</v>
      </c>
      <c r="E409" s="1052">
        <v>731713.93</v>
      </c>
      <c r="F409" s="1052">
        <v>900124</v>
      </c>
      <c r="G409" s="1048">
        <f>F409+51279.33</f>
        <v>951403.33</v>
      </c>
      <c r="H409" s="1048">
        <f t="shared" si="52"/>
        <v>951403.33</v>
      </c>
      <c r="I409" s="1048">
        <v>0</v>
      </c>
      <c r="J409" s="1048">
        <f t="shared" si="53"/>
        <v>0</v>
      </c>
      <c r="K409" s="1048">
        <f t="shared" si="54"/>
        <v>0</v>
      </c>
      <c r="L409" s="208"/>
      <c r="M409" s="209"/>
      <c r="N409" s="209"/>
      <c r="O409" s="209"/>
      <c r="P409" s="209"/>
      <c r="Q409" s="209"/>
      <c r="R409" s="209"/>
      <c r="S409" s="209"/>
      <c r="T409" s="209"/>
      <c r="U409" s="209"/>
      <c r="V409" s="209"/>
      <c r="W409" s="209"/>
    </row>
    <row r="410" spans="1:23" ht="11.25" customHeight="1" x14ac:dyDescent="0.25">
      <c r="A410" s="1165" t="s">
        <v>2602</v>
      </c>
      <c r="B410" s="1041"/>
      <c r="C410" s="1050">
        <v>0</v>
      </c>
      <c r="D410" s="1048">
        <v>0</v>
      </c>
      <c r="E410" s="1049">
        <v>0</v>
      </c>
      <c r="F410" s="1050">
        <v>0</v>
      </c>
      <c r="G410" s="1048">
        <v>14667.67</v>
      </c>
      <c r="H410" s="1048">
        <f t="shared" si="52"/>
        <v>14667.67</v>
      </c>
      <c r="I410" s="1048">
        <v>54781</v>
      </c>
      <c r="J410" s="1048">
        <v>58013.078999999998</v>
      </c>
      <c r="K410" s="1048">
        <v>61261.811424</v>
      </c>
      <c r="L410" s="208"/>
      <c r="M410" s="209"/>
      <c r="N410" s="209"/>
      <c r="O410" s="209"/>
      <c r="P410" s="209"/>
      <c r="Q410" s="209"/>
      <c r="R410" s="209"/>
      <c r="S410" s="209"/>
      <c r="T410" s="209"/>
      <c r="U410" s="209"/>
      <c r="V410" s="209"/>
      <c r="W410" s="209"/>
    </row>
    <row r="411" spans="1:23" ht="11.25" customHeight="1" x14ac:dyDescent="0.25">
      <c r="A411" s="1165">
        <f>A72</f>
        <v>0</v>
      </c>
      <c r="B411" s="1041"/>
      <c r="C411" s="1048"/>
      <c r="D411" s="1048"/>
      <c r="E411" s="1049"/>
      <c r="F411" s="1050"/>
      <c r="G411" s="1048"/>
      <c r="H411" s="1051"/>
      <c r="I411" s="1052"/>
      <c r="J411" s="1048"/>
      <c r="K411" s="2677"/>
      <c r="L411" s="208"/>
      <c r="M411" s="209"/>
      <c r="N411" s="209"/>
      <c r="O411" s="209"/>
      <c r="P411" s="209"/>
      <c r="Q411" s="209"/>
      <c r="R411" s="209"/>
      <c r="S411" s="209"/>
      <c r="T411" s="209"/>
      <c r="U411" s="209"/>
      <c r="V411" s="209"/>
      <c r="W411" s="209"/>
    </row>
    <row r="412" spans="1:23" ht="15" customHeight="1" x14ac:dyDescent="0.25">
      <c r="A412" s="1164" t="str">
        <f>A74</f>
        <v>Vote 7 - 520 WASTE MANAGEMENT</v>
      </c>
      <c r="B412" s="1053"/>
      <c r="C412" s="971">
        <f t="shared" ref="C412:K412" si="55">SUM(C413:C432)</f>
        <v>0</v>
      </c>
      <c r="D412" s="971">
        <f t="shared" si="55"/>
        <v>15473251.039999999</v>
      </c>
      <c r="E412" s="972">
        <f t="shared" si="55"/>
        <v>3042979.45</v>
      </c>
      <c r="F412" s="973">
        <f t="shared" si="55"/>
        <v>3757000</v>
      </c>
      <c r="G412" s="971">
        <f t="shared" si="55"/>
        <v>3757000</v>
      </c>
      <c r="H412" s="974">
        <f t="shared" si="55"/>
        <v>3757000</v>
      </c>
      <c r="I412" s="975">
        <f t="shared" si="55"/>
        <v>8177127</v>
      </c>
      <c r="J412" s="971">
        <f t="shared" si="55"/>
        <v>8659577.4930000007</v>
      </c>
      <c r="K412" s="971">
        <f t="shared" si="55"/>
        <v>9144513.8326080013</v>
      </c>
      <c r="L412" s="208"/>
      <c r="M412" s="209"/>
      <c r="N412" s="209"/>
      <c r="O412" s="209"/>
      <c r="P412" s="209"/>
      <c r="Q412" s="209"/>
      <c r="R412" s="209"/>
      <c r="S412" s="209"/>
      <c r="T412" s="209"/>
      <c r="U412" s="209"/>
      <c r="V412" s="209"/>
      <c r="W412" s="209"/>
    </row>
    <row r="413" spans="1:23" ht="11.25" customHeight="1" x14ac:dyDescent="0.25">
      <c r="A413" s="1165" t="s">
        <v>2375</v>
      </c>
      <c r="B413" s="1041"/>
      <c r="C413" s="1050">
        <v>0</v>
      </c>
      <c r="D413" s="1052">
        <v>0</v>
      </c>
      <c r="E413" s="1052">
        <v>0</v>
      </c>
      <c r="F413" s="1052">
        <v>0</v>
      </c>
      <c r="G413" s="1048">
        <v>0</v>
      </c>
      <c r="H413" s="1051">
        <v>0</v>
      </c>
      <c r="I413" s="1048">
        <v>3560738</v>
      </c>
      <c r="J413" s="1048">
        <v>3770821.5419999999</v>
      </c>
      <c r="K413" s="1048">
        <v>3981987.5483520003</v>
      </c>
      <c r="L413" s="208"/>
      <c r="M413" s="209"/>
      <c r="N413" s="209"/>
      <c r="O413" s="209"/>
      <c r="P413" s="209"/>
      <c r="Q413" s="209"/>
      <c r="R413" s="209"/>
      <c r="S413" s="209"/>
      <c r="T413" s="209"/>
      <c r="U413" s="209"/>
      <c r="V413" s="209"/>
      <c r="W413" s="209"/>
    </row>
    <row r="414" spans="1:23" ht="11.25" customHeight="1" x14ac:dyDescent="0.25">
      <c r="A414" s="1165" t="s">
        <v>2432</v>
      </c>
      <c r="B414" s="1041"/>
      <c r="C414" s="1050">
        <v>0</v>
      </c>
      <c r="D414" s="1052">
        <v>0</v>
      </c>
      <c r="E414" s="1052">
        <v>0</v>
      </c>
      <c r="F414" s="1052">
        <v>0</v>
      </c>
      <c r="G414" s="1048">
        <v>0</v>
      </c>
      <c r="H414" s="1051">
        <v>0</v>
      </c>
      <c r="I414" s="1048">
        <v>296728</v>
      </c>
      <c r="J414" s="1048">
        <v>314234.95199999999</v>
      </c>
      <c r="K414" s="1048">
        <v>331832.10931199999</v>
      </c>
      <c r="L414" s="208"/>
      <c r="M414" s="209"/>
      <c r="N414" s="209"/>
      <c r="O414" s="209"/>
      <c r="P414" s="209"/>
      <c r="Q414" s="209"/>
      <c r="R414" s="209"/>
      <c r="S414" s="209"/>
      <c r="T414" s="209"/>
      <c r="U414" s="209"/>
      <c r="V414" s="209"/>
      <c r="W414" s="209"/>
    </row>
    <row r="415" spans="1:23" ht="11.25" customHeight="1" x14ac:dyDescent="0.25">
      <c r="A415" s="1165" t="s">
        <v>2457</v>
      </c>
      <c r="B415" s="1041"/>
      <c r="C415" s="1050">
        <v>0</v>
      </c>
      <c r="D415" s="1052">
        <v>0</v>
      </c>
      <c r="E415" s="1052">
        <v>0</v>
      </c>
      <c r="F415" s="1052">
        <v>0</v>
      </c>
      <c r="G415" s="1048">
        <v>0</v>
      </c>
      <c r="H415" s="1051">
        <v>0</v>
      </c>
      <c r="I415" s="1048">
        <v>1913</v>
      </c>
      <c r="J415" s="1048">
        <v>2025.867</v>
      </c>
      <c r="K415" s="1048">
        <v>2139.315552</v>
      </c>
      <c r="L415" s="208"/>
      <c r="M415" s="209"/>
      <c r="N415" s="209"/>
      <c r="O415" s="209"/>
      <c r="P415" s="209"/>
      <c r="Q415" s="209"/>
      <c r="R415" s="209"/>
      <c r="S415" s="209"/>
      <c r="T415" s="209"/>
      <c r="U415" s="209"/>
      <c r="V415" s="209"/>
      <c r="W415" s="209"/>
    </row>
    <row r="416" spans="1:23" ht="11.25" customHeight="1" x14ac:dyDescent="0.25">
      <c r="A416" s="1165" t="s">
        <v>2376</v>
      </c>
      <c r="B416" s="1041"/>
      <c r="C416" s="1050">
        <v>0</v>
      </c>
      <c r="D416" s="1052">
        <v>0</v>
      </c>
      <c r="E416" s="1052">
        <v>0</v>
      </c>
      <c r="F416" s="1052">
        <v>0</v>
      </c>
      <c r="G416" s="1048">
        <v>0</v>
      </c>
      <c r="H416" s="1051">
        <v>0</v>
      </c>
      <c r="I416" s="1048">
        <v>712813</v>
      </c>
      <c r="J416" s="1048">
        <v>754868.96699999995</v>
      </c>
      <c r="K416" s="1048">
        <v>797141.62915199995</v>
      </c>
      <c r="L416" s="208"/>
      <c r="M416" s="209"/>
      <c r="N416" s="209"/>
      <c r="O416" s="209"/>
      <c r="P416" s="209"/>
      <c r="Q416" s="209"/>
      <c r="R416" s="209"/>
      <c r="S416" s="209"/>
      <c r="T416" s="209"/>
      <c r="U416" s="209"/>
      <c r="V416" s="209"/>
      <c r="W416" s="209"/>
    </row>
    <row r="417" spans="1:23" ht="11.25" customHeight="1" x14ac:dyDescent="0.25">
      <c r="A417" s="1165" t="s">
        <v>2377</v>
      </c>
      <c r="B417" s="1041"/>
      <c r="C417" s="1050">
        <v>0</v>
      </c>
      <c r="D417" s="1052">
        <v>0</v>
      </c>
      <c r="E417" s="1052">
        <v>0</v>
      </c>
      <c r="F417" s="1052">
        <v>0</v>
      </c>
      <c r="G417" s="1048">
        <v>0</v>
      </c>
      <c r="H417" s="1051">
        <v>0</v>
      </c>
      <c r="I417" s="1048">
        <v>242620</v>
      </c>
      <c r="J417" s="1048">
        <v>256934.58</v>
      </c>
      <c r="K417" s="1048">
        <v>271322.91648000001</v>
      </c>
      <c r="L417" s="208"/>
      <c r="M417" s="209"/>
      <c r="N417" s="209"/>
      <c r="O417" s="209"/>
      <c r="P417" s="209"/>
      <c r="Q417" s="209"/>
      <c r="R417" s="209"/>
      <c r="S417" s="209"/>
      <c r="T417" s="209"/>
      <c r="U417" s="209"/>
      <c r="V417" s="209"/>
      <c r="W417" s="209"/>
    </row>
    <row r="418" spans="1:23" ht="11.25" customHeight="1" x14ac:dyDescent="0.25">
      <c r="A418" s="1165" t="s">
        <v>2380</v>
      </c>
      <c r="B418" s="1041"/>
      <c r="C418" s="1050">
        <v>0</v>
      </c>
      <c r="D418" s="1052">
        <v>0</v>
      </c>
      <c r="E418" s="1052">
        <v>0</v>
      </c>
      <c r="F418" s="1052">
        <v>0</v>
      </c>
      <c r="G418" s="1048">
        <v>0</v>
      </c>
      <c r="H418" s="1051">
        <v>0</v>
      </c>
      <c r="I418" s="1048">
        <v>31108</v>
      </c>
      <c r="J418" s="1048">
        <v>32943.371999999996</v>
      </c>
      <c r="K418" s="1048">
        <v>34788.200831999995</v>
      </c>
      <c r="L418" s="208"/>
      <c r="M418" s="209"/>
      <c r="N418" s="209"/>
      <c r="O418" s="209"/>
      <c r="P418" s="209"/>
      <c r="Q418" s="209"/>
      <c r="R418" s="209"/>
      <c r="S418" s="209"/>
      <c r="T418" s="209"/>
      <c r="U418" s="209"/>
      <c r="V418" s="209"/>
      <c r="W418" s="209"/>
    </row>
    <row r="419" spans="1:23" ht="11.25" customHeight="1" x14ac:dyDescent="0.25">
      <c r="A419" s="1165" t="s">
        <v>2447</v>
      </c>
      <c r="B419" s="1041"/>
      <c r="C419" s="1050">
        <v>0</v>
      </c>
      <c r="D419" s="1052">
        <v>0</v>
      </c>
      <c r="E419" s="1052">
        <v>0</v>
      </c>
      <c r="F419" s="1052">
        <v>0</v>
      </c>
      <c r="G419" s="1048">
        <v>0</v>
      </c>
      <c r="H419" s="1051">
        <v>0</v>
      </c>
      <c r="I419" s="1052">
        <v>60000</v>
      </c>
      <c r="J419" s="1048">
        <v>63540</v>
      </c>
      <c r="K419" s="1048">
        <v>67098.240000000005</v>
      </c>
      <c r="L419" s="208"/>
      <c r="M419" s="209"/>
      <c r="N419" s="209"/>
      <c r="O419" s="209"/>
      <c r="P419" s="209"/>
      <c r="Q419" s="209"/>
      <c r="R419" s="209"/>
      <c r="S419" s="209"/>
      <c r="T419" s="209"/>
      <c r="U419" s="209"/>
      <c r="V419" s="209"/>
      <c r="W419" s="209"/>
    </row>
    <row r="420" spans="1:23" ht="11.25" customHeight="1" x14ac:dyDescent="0.25">
      <c r="A420" s="1165" t="s">
        <v>2446</v>
      </c>
      <c r="B420" s="1041"/>
      <c r="C420" s="1050">
        <v>0</v>
      </c>
      <c r="D420" s="1052">
        <v>0</v>
      </c>
      <c r="E420" s="1052">
        <v>0</v>
      </c>
      <c r="F420" s="1052">
        <v>0</v>
      </c>
      <c r="G420" s="1048">
        <v>0</v>
      </c>
      <c r="H420" s="1051">
        <v>0</v>
      </c>
      <c r="I420" s="1048">
        <v>18600</v>
      </c>
      <c r="J420" s="1048">
        <v>19697.399999999998</v>
      </c>
      <c r="K420" s="1048">
        <v>20800.454399999999</v>
      </c>
      <c r="L420" s="208"/>
      <c r="M420" s="209"/>
      <c r="N420" s="209"/>
      <c r="O420" s="209"/>
      <c r="P420" s="209"/>
      <c r="Q420" s="209"/>
      <c r="R420" s="209"/>
      <c r="S420" s="209"/>
      <c r="T420" s="209"/>
      <c r="U420" s="209"/>
      <c r="V420" s="209"/>
      <c r="W420" s="209"/>
    </row>
    <row r="421" spans="1:23" ht="11.25" customHeight="1" x14ac:dyDescent="0.25">
      <c r="A421" s="1165" t="s">
        <v>2391</v>
      </c>
      <c r="B421" s="1041"/>
      <c r="C421" s="1050">
        <v>0</v>
      </c>
      <c r="D421" s="1052">
        <v>0</v>
      </c>
      <c r="E421" s="1052">
        <v>0</v>
      </c>
      <c r="F421" s="1052">
        <v>0</v>
      </c>
      <c r="G421" s="1048">
        <v>0</v>
      </c>
      <c r="H421" s="1051">
        <v>0</v>
      </c>
      <c r="I421" s="1048">
        <v>35607</v>
      </c>
      <c r="J421" s="1048">
        <v>37707.812999999995</v>
      </c>
      <c r="K421" s="1048">
        <v>39819.450527999994</v>
      </c>
      <c r="L421" s="208"/>
      <c r="M421" s="209"/>
      <c r="N421" s="209"/>
      <c r="O421" s="209"/>
      <c r="P421" s="209"/>
      <c r="Q421" s="209"/>
      <c r="R421" s="209"/>
      <c r="S421" s="209"/>
      <c r="T421" s="209"/>
      <c r="U421" s="209"/>
      <c r="V421" s="209"/>
      <c r="W421" s="209"/>
    </row>
    <row r="422" spans="1:23" ht="11.25" customHeight="1" x14ac:dyDescent="0.25">
      <c r="A422" s="1165" t="s">
        <v>2387</v>
      </c>
      <c r="B422" s="1041"/>
      <c r="C422" s="1050">
        <v>0</v>
      </c>
      <c r="D422" s="1052">
        <v>0</v>
      </c>
      <c r="E422" s="1052">
        <v>0</v>
      </c>
      <c r="F422" s="1052">
        <v>0</v>
      </c>
      <c r="G422" s="1048">
        <v>0</v>
      </c>
      <c r="H422" s="1051">
        <v>0</v>
      </c>
      <c r="I422" s="1052">
        <v>0</v>
      </c>
      <c r="J422" s="1048">
        <f t="shared" ref="J422:J426" si="56">I422*1.059</f>
        <v>0</v>
      </c>
      <c r="K422" s="1048">
        <f t="shared" ref="K422:K426" si="57">J422*1.056</f>
        <v>0</v>
      </c>
      <c r="L422" s="208"/>
      <c r="M422" s="209"/>
      <c r="N422" s="209"/>
      <c r="O422" s="209"/>
      <c r="P422" s="209"/>
      <c r="Q422" s="209"/>
      <c r="R422" s="209"/>
      <c r="S422" s="209"/>
      <c r="T422" s="209"/>
      <c r="U422" s="209"/>
      <c r="V422" s="209"/>
      <c r="W422" s="209"/>
    </row>
    <row r="423" spans="1:23" ht="11.25" customHeight="1" x14ac:dyDescent="0.25">
      <c r="A423" s="1165" t="s">
        <v>2697</v>
      </c>
      <c r="B423" s="1041"/>
      <c r="C423" s="1050">
        <v>0</v>
      </c>
      <c r="D423" s="1052">
        <v>0</v>
      </c>
      <c r="E423" s="1052">
        <v>1006528.48</v>
      </c>
      <c r="F423" s="1052">
        <v>0</v>
      </c>
      <c r="G423" s="1048">
        <v>0</v>
      </c>
      <c r="H423" s="1051">
        <v>0</v>
      </c>
      <c r="I423" s="1052">
        <v>0</v>
      </c>
      <c r="J423" s="1048">
        <f t="shared" si="56"/>
        <v>0</v>
      </c>
      <c r="K423" s="1048">
        <f t="shared" si="57"/>
        <v>0</v>
      </c>
      <c r="L423" s="208"/>
      <c r="M423" s="209"/>
      <c r="N423" s="209"/>
      <c r="O423" s="209"/>
      <c r="P423" s="209"/>
      <c r="Q423" s="209"/>
      <c r="R423" s="209"/>
      <c r="S423" s="209"/>
      <c r="T423" s="209"/>
      <c r="U423" s="209"/>
      <c r="V423" s="209"/>
      <c r="W423" s="209"/>
    </row>
    <row r="424" spans="1:23" ht="11.25" customHeight="1" x14ac:dyDescent="0.25">
      <c r="A424" s="1165" t="s">
        <v>2501</v>
      </c>
      <c r="B424" s="1041"/>
      <c r="C424" s="1050">
        <v>0</v>
      </c>
      <c r="D424" s="1052">
        <v>31802.39</v>
      </c>
      <c r="E424" s="1052">
        <v>0</v>
      </c>
      <c r="F424" s="1052">
        <v>0</v>
      </c>
      <c r="G424" s="1048">
        <v>0</v>
      </c>
      <c r="H424" s="1051">
        <v>0</v>
      </c>
      <c r="I424" s="1052">
        <v>0</v>
      </c>
      <c r="J424" s="1048">
        <f t="shared" si="56"/>
        <v>0</v>
      </c>
      <c r="K424" s="1048">
        <f t="shared" si="57"/>
        <v>0</v>
      </c>
      <c r="L424" s="208"/>
      <c r="M424" s="209"/>
      <c r="N424" s="209"/>
      <c r="O424" s="209"/>
      <c r="P424" s="209"/>
      <c r="Q424" s="209"/>
      <c r="R424" s="209"/>
      <c r="S424" s="209"/>
      <c r="T424" s="209"/>
      <c r="U424" s="209"/>
      <c r="V424" s="209"/>
      <c r="W424" s="209"/>
    </row>
    <row r="425" spans="1:23" ht="11.25" customHeight="1" x14ac:dyDescent="0.25">
      <c r="A425" s="1165" t="s">
        <v>2502</v>
      </c>
      <c r="B425" s="1041"/>
      <c r="C425" s="1050">
        <v>0</v>
      </c>
      <c r="D425" s="1052">
        <v>1040422.65</v>
      </c>
      <c r="E425" s="1052">
        <v>113411.1</v>
      </c>
      <c r="F425" s="1052">
        <f>'[6]OPERATIONAL BUDGET'!$I$408</f>
        <v>0</v>
      </c>
      <c r="G425" s="1048">
        <v>0</v>
      </c>
      <c r="H425" s="1051">
        <v>0</v>
      </c>
      <c r="I425" s="1052">
        <v>0</v>
      </c>
      <c r="J425" s="1048">
        <f t="shared" si="56"/>
        <v>0</v>
      </c>
      <c r="K425" s="1048">
        <f t="shared" si="57"/>
        <v>0</v>
      </c>
      <c r="L425" s="208"/>
      <c r="M425" s="209"/>
      <c r="N425" s="209"/>
      <c r="O425" s="209"/>
      <c r="P425" s="209"/>
      <c r="Q425" s="209"/>
      <c r="R425" s="209"/>
      <c r="S425" s="209"/>
      <c r="T425" s="209"/>
      <c r="U425" s="209"/>
      <c r="V425" s="209"/>
      <c r="W425" s="209"/>
    </row>
    <row r="426" spans="1:23" ht="11.25" customHeight="1" x14ac:dyDescent="0.25">
      <c r="A426" s="1165" t="s">
        <v>2695</v>
      </c>
      <c r="B426" s="1041"/>
      <c r="C426" s="1048">
        <v>0</v>
      </c>
      <c r="D426" s="1049">
        <v>0</v>
      </c>
      <c r="E426" s="1050">
        <v>0</v>
      </c>
      <c r="F426" s="1052">
        <v>3757000</v>
      </c>
      <c r="G426" s="1048">
        <f>F426</f>
        <v>3757000</v>
      </c>
      <c r="H426" s="1051">
        <f>G426</f>
        <v>3757000</v>
      </c>
      <c r="I426" s="1048">
        <v>3117000</v>
      </c>
      <c r="J426" s="1048">
        <f t="shared" si="56"/>
        <v>3300903</v>
      </c>
      <c r="K426" s="1048">
        <f t="shared" si="57"/>
        <v>3485753.568</v>
      </c>
      <c r="L426" s="208"/>
      <c r="M426" s="209"/>
      <c r="N426" s="209"/>
      <c r="O426" s="209"/>
      <c r="P426" s="209"/>
      <c r="Q426" s="209"/>
      <c r="R426" s="209"/>
      <c r="S426" s="209"/>
      <c r="T426" s="209"/>
      <c r="U426" s="209"/>
      <c r="V426" s="209"/>
      <c r="W426" s="209"/>
    </row>
    <row r="427" spans="1:23" ht="11.25" customHeight="1" x14ac:dyDescent="0.25">
      <c r="A427" s="1165" t="s">
        <v>2503</v>
      </c>
      <c r="B427" s="1041"/>
      <c r="C427" s="1048">
        <v>0</v>
      </c>
      <c r="D427" s="1049">
        <v>14401026</v>
      </c>
      <c r="E427" s="1050">
        <v>1923039.87</v>
      </c>
      <c r="F427" s="1052">
        <v>0</v>
      </c>
      <c r="G427" s="1048">
        <v>0</v>
      </c>
      <c r="H427" s="1051">
        <v>0</v>
      </c>
      <c r="I427" s="1052">
        <v>100000</v>
      </c>
      <c r="J427" s="1048">
        <v>105900</v>
      </c>
      <c r="K427" s="1048">
        <v>111830.40000000001</v>
      </c>
      <c r="L427" s="208"/>
      <c r="M427" s="209"/>
      <c r="N427" s="209"/>
      <c r="O427" s="209"/>
      <c r="P427" s="209"/>
      <c r="Q427" s="209"/>
      <c r="R427" s="209"/>
      <c r="S427" s="209"/>
      <c r="T427" s="209"/>
      <c r="U427" s="209"/>
      <c r="V427" s="209"/>
      <c r="W427" s="209"/>
    </row>
    <row r="428" spans="1:23" ht="11.25" customHeight="1" x14ac:dyDescent="0.25">
      <c r="A428" s="1165"/>
      <c r="B428" s="1041"/>
      <c r="C428" s="1048"/>
      <c r="D428" s="1609"/>
      <c r="E428" s="1051"/>
      <c r="F428" s="1050"/>
      <c r="G428" s="1048"/>
      <c r="H428" s="1051"/>
      <c r="I428" s="1052"/>
      <c r="J428" s="1048"/>
      <c r="K428" s="2677"/>
      <c r="L428" s="208"/>
      <c r="M428" s="209"/>
      <c r="N428" s="209"/>
      <c r="O428" s="209"/>
      <c r="P428" s="209"/>
      <c r="Q428" s="209"/>
      <c r="R428" s="209"/>
      <c r="S428" s="209"/>
      <c r="T428" s="209"/>
      <c r="U428" s="209"/>
      <c r="V428" s="209"/>
      <c r="W428" s="209"/>
    </row>
    <row r="429" spans="1:23" ht="11.25" customHeight="1" x14ac:dyDescent="0.25">
      <c r="A429" s="1165"/>
      <c r="B429" s="1041"/>
      <c r="C429" s="1048"/>
      <c r="D429" s="1609"/>
      <c r="E429" s="1051"/>
      <c r="F429" s="1050"/>
      <c r="G429" s="1048"/>
      <c r="H429" s="1051"/>
      <c r="I429" s="1052"/>
      <c r="J429" s="1048"/>
      <c r="K429" s="2677"/>
      <c r="L429" s="208"/>
      <c r="M429" s="209"/>
      <c r="N429" s="209"/>
      <c r="O429" s="209"/>
      <c r="P429" s="209"/>
      <c r="Q429" s="209"/>
      <c r="R429" s="209"/>
      <c r="S429" s="209"/>
      <c r="T429" s="209"/>
      <c r="U429" s="209"/>
      <c r="V429" s="209"/>
      <c r="W429" s="209"/>
    </row>
    <row r="430" spans="1:23" ht="11.25" customHeight="1" x14ac:dyDescent="0.25">
      <c r="A430" s="1165"/>
      <c r="B430" s="1041"/>
      <c r="C430" s="1048"/>
      <c r="D430" s="1048"/>
      <c r="E430" s="1049"/>
      <c r="F430" s="1050"/>
      <c r="G430" s="1048"/>
      <c r="H430" s="1051"/>
      <c r="I430" s="1052"/>
      <c r="J430" s="1048"/>
      <c r="K430" s="2677"/>
      <c r="L430" s="208"/>
      <c r="M430" s="209"/>
      <c r="N430" s="209"/>
      <c r="O430" s="209"/>
      <c r="P430" s="209"/>
      <c r="Q430" s="209"/>
      <c r="R430" s="209"/>
      <c r="S430" s="209"/>
      <c r="T430" s="209"/>
      <c r="U430" s="209"/>
      <c r="V430" s="209"/>
      <c r="W430" s="209"/>
    </row>
    <row r="431" spans="1:23" ht="11.25" customHeight="1" x14ac:dyDescent="0.25">
      <c r="A431" s="1165">
        <f>A79</f>
        <v>0</v>
      </c>
      <c r="B431" s="1041"/>
      <c r="C431" s="1048"/>
      <c r="D431" s="1048"/>
      <c r="E431" s="1049"/>
      <c r="F431" s="1050"/>
      <c r="G431" s="1048"/>
      <c r="H431" s="1051"/>
      <c r="I431" s="1052"/>
      <c r="J431" s="1048"/>
      <c r="K431" s="2677"/>
      <c r="L431" s="208"/>
      <c r="M431" s="209"/>
      <c r="N431" s="209"/>
      <c r="O431" s="209"/>
      <c r="P431" s="209"/>
      <c r="Q431" s="209"/>
      <c r="R431" s="209"/>
      <c r="S431" s="209"/>
      <c r="T431" s="209"/>
      <c r="U431" s="209"/>
      <c r="V431" s="209"/>
      <c r="W431" s="209"/>
    </row>
    <row r="432" spans="1:23" ht="11.25" customHeight="1" x14ac:dyDescent="0.25">
      <c r="A432" s="1165">
        <f>A80</f>
        <v>0</v>
      </c>
      <c r="B432" s="1041"/>
      <c r="C432" s="1048"/>
      <c r="D432" s="1048"/>
      <c r="E432" s="1049"/>
      <c r="F432" s="1050"/>
      <c r="G432" s="1048"/>
      <c r="H432" s="1051"/>
      <c r="I432" s="1052"/>
      <c r="J432" s="1048"/>
      <c r="K432" s="2677"/>
      <c r="L432" s="208"/>
      <c r="M432" s="209"/>
      <c r="N432" s="209"/>
      <c r="O432" s="209"/>
      <c r="P432" s="209"/>
      <c r="Q432" s="209"/>
      <c r="R432" s="209"/>
      <c r="S432" s="209"/>
      <c r="T432" s="209"/>
      <c r="U432" s="209"/>
      <c r="V432" s="209"/>
      <c r="W432" s="209"/>
    </row>
    <row r="433" spans="1:23" ht="15" customHeight="1" x14ac:dyDescent="0.25">
      <c r="A433" s="1164" t="str">
        <f>A81</f>
        <v>Vote 8 - 530 ELECTRICITY SERVICES</v>
      </c>
      <c r="B433" s="1041"/>
      <c r="C433" s="971">
        <f t="shared" ref="C433:K433" si="58">SUM(C434:C453)</f>
        <v>0</v>
      </c>
      <c r="D433" s="971">
        <f t="shared" si="58"/>
        <v>2714327.08</v>
      </c>
      <c r="E433" s="972">
        <f t="shared" si="58"/>
        <v>3759337.5500000003</v>
      </c>
      <c r="F433" s="973">
        <f t="shared" si="58"/>
        <v>2973341</v>
      </c>
      <c r="G433" s="971">
        <f t="shared" si="58"/>
        <v>1952697.95</v>
      </c>
      <c r="H433" s="974">
        <f t="shared" si="58"/>
        <v>1952697.95</v>
      </c>
      <c r="I433" s="975">
        <f t="shared" si="58"/>
        <v>2161755</v>
      </c>
      <c r="J433" s="971">
        <f t="shared" si="58"/>
        <v>2289298.5449999999</v>
      </c>
      <c r="K433" s="971">
        <f t="shared" si="58"/>
        <v>2417499.2635199996</v>
      </c>
      <c r="L433" s="208"/>
      <c r="M433" s="209"/>
      <c r="N433" s="209"/>
      <c r="O433" s="209"/>
      <c r="P433" s="209"/>
      <c r="Q433" s="209"/>
      <c r="R433" s="209"/>
      <c r="S433" s="209"/>
      <c r="T433" s="209"/>
      <c r="U433" s="209"/>
      <c r="V433" s="209"/>
      <c r="W433" s="209"/>
    </row>
    <row r="434" spans="1:23" ht="11.25" customHeight="1" x14ac:dyDescent="0.25">
      <c r="A434" s="1165" t="s">
        <v>2375</v>
      </c>
      <c r="B434" s="1041"/>
      <c r="C434" s="1050">
        <v>0</v>
      </c>
      <c r="D434" s="1052">
        <v>310767.15000000002</v>
      </c>
      <c r="E434" s="1052">
        <v>202431.39</v>
      </c>
      <c r="F434" s="1052">
        <v>183194</v>
      </c>
      <c r="G434" s="1048">
        <f>F434+543606</f>
        <v>726800</v>
      </c>
      <c r="H434" s="1048">
        <f>G434</f>
        <v>726800</v>
      </c>
      <c r="I434" s="1048">
        <v>1477090</v>
      </c>
      <c r="J434" s="1048">
        <v>1564238.3099999998</v>
      </c>
      <c r="K434" s="1048">
        <v>1651835.65536</v>
      </c>
      <c r="L434" s="208"/>
      <c r="M434" s="209"/>
      <c r="N434" s="209"/>
      <c r="O434" s="209"/>
      <c r="P434" s="209"/>
      <c r="Q434" s="209"/>
      <c r="R434" s="209"/>
      <c r="S434" s="209"/>
      <c r="T434" s="209"/>
      <c r="U434" s="209"/>
      <c r="V434" s="209"/>
      <c r="W434" s="209"/>
    </row>
    <row r="435" spans="1:23" ht="11.25" customHeight="1" x14ac:dyDescent="0.25">
      <c r="A435" s="1165" t="s">
        <v>2432</v>
      </c>
      <c r="B435" s="1041"/>
      <c r="C435" s="1050">
        <v>0</v>
      </c>
      <c r="D435" s="1052">
        <v>14174.09</v>
      </c>
      <c r="E435" s="1052">
        <v>14294.16</v>
      </c>
      <c r="F435" s="1052">
        <v>15266</v>
      </c>
      <c r="G435" s="1048">
        <f>F435+9158</f>
        <v>24424</v>
      </c>
      <c r="H435" s="1048">
        <f t="shared" ref="H435:H450" si="59">G435</f>
        <v>24424</v>
      </c>
      <c r="I435" s="1048">
        <v>123091</v>
      </c>
      <c r="J435" s="1048">
        <v>130353.36899999999</v>
      </c>
      <c r="K435" s="1048">
        <v>137653.157664</v>
      </c>
      <c r="L435" s="208"/>
      <c r="M435" s="209"/>
      <c r="N435" s="209"/>
      <c r="O435" s="209"/>
      <c r="P435" s="209"/>
      <c r="Q435" s="209"/>
      <c r="R435" s="209"/>
      <c r="S435" s="209"/>
      <c r="T435" s="209"/>
      <c r="U435" s="209"/>
      <c r="V435" s="209"/>
      <c r="W435" s="209"/>
    </row>
    <row r="436" spans="1:23" ht="11.25" customHeight="1" x14ac:dyDescent="0.25">
      <c r="A436" s="1165" t="s">
        <v>2457</v>
      </c>
      <c r="B436" s="1041"/>
      <c r="C436" s="1050">
        <v>0</v>
      </c>
      <c r="D436" s="1052">
        <v>267.14999999999998</v>
      </c>
      <c r="E436" s="1052">
        <v>139.69999999999999</v>
      </c>
      <c r="F436" s="1052">
        <v>2400</v>
      </c>
      <c r="G436" s="1048">
        <f>F436+-2317</f>
        <v>83</v>
      </c>
      <c r="H436" s="1048">
        <f t="shared" si="59"/>
        <v>83</v>
      </c>
      <c r="I436" s="1048">
        <v>870</v>
      </c>
      <c r="J436" s="1048">
        <v>921.32999999999993</v>
      </c>
      <c r="K436" s="1048">
        <v>972.92448000000002</v>
      </c>
      <c r="L436" s="208"/>
      <c r="M436" s="209"/>
      <c r="N436" s="209"/>
      <c r="O436" s="209"/>
      <c r="P436" s="209"/>
      <c r="Q436" s="209"/>
      <c r="R436" s="209"/>
      <c r="S436" s="209"/>
      <c r="T436" s="209"/>
      <c r="U436" s="209"/>
      <c r="V436" s="209"/>
      <c r="W436" s="209"/>
    </row>
    <row r="437" spans="1:23" ht="11.25" customHeight="1" x14ac:dyDescent="0.25">
      <c r="A437" s="1165" t="s">
        <v>2434</v>
      </c>
      <c r="B437" s="1041"/>
      <c r="C437" s="1050">
        <v>0</v>
      </c>
      <c r="D437" s="1052"/>
      <c r="E437" s="1052">
        <v>0</v>
      </c>
      <c r="F437" s="1052">
        <v>0</v>
      </c>
      <c r="G437" s="1048">
        <v>0</v>
      </c>
      <c r="H437" s="1048">
        <f t="shared" si="59"/>
        <v>0</v>
      </c>
      <c r="I437" s="1048"/>
      <c r="J437" s="1048">
        <f t="shared" ref="J437:J450" si="60">I437*1.059</f>
        <v>0</v>
      </c>
      <c r="K437" s="1048">
        <f t="shared" ref="K437:K450" si="61">J437*1.056</f>
        <v>0</v>
      </c>
      <c r="L437" s="208"/>
      <c r="M437" s="209"/>
      <c r="N437" s="209"/>
      <c r="O437" s="209"/>
      <c r="P437" s="209"/>
      <c r="Q437" s="209"/>
      <c r="R437" s="209"/>
      <c r="S437" s="209"/>
      <c r="T437" s="209"/>
      <c r="U437" s="209"/>
      <c r="V437" s="209"/>
      <c r="W437" s="209"/>
    </row>
    <row r="438" spans="1:23" ht="11.25" customHeight="1" x14ac:dyDescent="0.25">
      <c r="A438" s="1165" t="s">
        <v>2435</v>
      </c>
      <c r="B438" s="1041"/>
      <c r="C438" s="1050">
        <v>0</v>
      </c>
      <c r="D438" s="1052">
        <v>8701.4599999999991</v>
      </c>
      <c r="E438" s="1052">
        <v>16643.28</v>
      </c>
      <c r="F438" s="1052">
        <v>0</v>
      </c>
      <c r="G438" s="1048">
        <v>0</v>
      </c>
      <c r="H438" s="1048">
        <f t="shared" si="59"/>
        <v>0</v>
      </c>
      <c r="I438" s="1048"/>
      <c r="J438" s="1048">
        <f t="shared" si="60"/>
        <v>0</v>
      </c>
      <c r="K438" s="1048">
        <f t="shared" si="61"/>
        <v>0</v>
      </c>
      <c r="L438" s="208"/>
      <c r="M438" s="209"/>
      <c r="N438" s="209"/>
      <c r="O438" s="209"/>
      <c r="P438" s="209"/>
      <c r="Q438" s="209"/>
      <c r="R438" s="209"/>
      <c r="S438" s="209"/>
      <c r="T438" s="209"/>
      <c r="U438" s="209"/>
      <c r="V438" s="209"/>
      <c r="W438" s="209"/>
    </row>
    <row r="439" spans="1:23" ht="11.25" customHeight="1" x14ac:dyDescent="0.25">
      <c r="A439" s="1165" t="s">
        <v>2376</v>
      </c>
      <c r="B439" s="1041"/>
      <c r="C439" s="1050">
        <v>0</v>
      </c>
      <c r="D439" s="1052">
        <v>65181.11</v>
      </c>
      <c r="E439" s="1052">
        <v>28302.34</v>
      </c>
      <c r="F439" s="1052">
        <v>32975</v>
      </c>
      <c r="G439" s="1048">
        <f>F439+-4975</f>
        <v>28000</v>
      </c>
      <c r="H439" s="1048">
        <f t="shared" si="59"/>
        <v>28000</v>
      </c>
      <c r="I439" s="1048">
        <v>298035</v>
      </c>
      <c r="J439" s="1048">
        <v>315619.065</v>
      </c>
      <c r="K439" s="1048">
        <v>333293.73264</v>
      </c>
      <c r="L439" s="208"/>
      <c r="M439" s="209"/>
      <c r="N439" s="209"/>
      <c r="O439" s="209"/>
      <c r="P439" s="209"/>
      <c r="Q439" s="209"/>
      <c r="R439" s="209"/>
      <c r="S439" s="209"/>
      <c r="T439" s="209"/>
      <c r="U439" s="209"/>
      <c r="V439" s="209"/>
      <c r="W439" s="209"/>
    </row>
    <row r="440" spans="1:23" ht="11.25" customHeight="1" x14ac:dyDescent="0.25">
      <c r="A440" s="1165" t="s">
        <v>2377</v>
      </c>
      <c r="B440" s="1041"/>
      <c r="C440" s="1050">
        <v>0</v>
      </c>
      <c r="D440" s="1052">
        <v>11439.58</v>
      </c>
      <c r="E440" s="1052">
        <v>0</v>
      </c>
      <c r="F440" s="1052">
        <v>31020</v>
      </c>
      <c r="G440" s="1048">
        <f>F440</f>
        <v>31020</v>
      </c>
      <c r="H440" s="1048">
        <f t="shared" si="59"/>
        <v>31020</v>
      </c>
      <c r="I440" s="1048">
        <v>18727</v>
      </c>
      <c r="J440" s="1048">
        <v>19831.893</v>
      </c>
      <c r="K440" s="1048">
        <v>20942.479008000002</v>
      </c>
      <c r="L440" s="208"/>
      <c r="M440" s="209"/>
      <c r="N440" s="209"/>
      <c r="O440" s="209"/>
      <c r="P440" s="209"/>
      <c r="Q440" s="209"/>
      <c r="R440" s="209"/>
      <c r="S440" s="209"/>
      <c r="T440" s="209"/>
      <c r="U440" s="209"/>
      <c r="V440" s="209"/>
      <c r="W440" s="209"/>
    </row>
    <row r="441" spans="1:23" ht="11.25" customHeight="1" x14ac:dyDescent="0.25">
      <c r="A441" s="1165" t="s">
        <v>2378</v>
      </c>
      <c r="B441" s="1041"/>
      <c r="C441" s="1050">
        <v>0</v>
      </c>
      <c r="D441" s="1050">
        <v>0</v>
      </c>
      <c r="E441" s="1052">
        <v>0</v>
      </c>
      <c r="F441" s="1052">
        <v>0</v>
      </c>
      <c r="G441" s="1048">
        <v>0</v>
      </c>
      <c r="H441" s="1048">
        <f t="shared" si="59"/>
        <v>0</v>
      </c>
      <c r="I441" s="1048"/>
      <c r="J441" s="1048">
        <f t="shared" si="60"/>
        <v>0</v>
      </c>
      <c r="K441" s="1048">
        <f t="shared" si="61"/>
        <v>0</v>
      </c>
      <c r="L441" s="208"/>
      <c r="M441" s="209"/>
      <c r="N441" s="209"/>
      <c r="O441" s="209"/>
      <c r="P441" s="209"/>
      <c r="Q441" s="209"/>
      <c r="R441" s="209"/>
      <c r="S441" s="209"/>
      <c r="T441" s="209"/>
      <c r="U441" s="209"/>
      <c r="V441" s="209"/>
      <c r="W441" s="209"/>
    </row>
    <row r="442" spans="1:23" ht="11.25" customHeight="1" x14ac:dyDescent="0.25">
      <c r="A442" s="1165" t="s">
        <v>2379</v>
      </c>
      <c r="B442" s="1041"/>
      <c r="C442" s="1050">
        <v>0</v>
      </c>
      <c r="D442" s="1050">
        <v>0</v>
      </c>
      <c r="E442" s="1052">
        <v>0</v>
      </c>
      <c r="F442" s="1052">
        <v>0</v>
      </c>
      <c r="G442" s="1048">
        <v>0</v>
      </c>
      <c r="H442" s="1048">
        <f t="shared" si="59"/>
        <v>0</v>
      </c>
      <c r="I442" s="1048"/>
      <c r="J442" s="1048">
        <f t="shared" si="60"/>
        <v>0</v>
      </c>
      <c r="K442" s="1048">
        <f t="shared" si="61"/>
        <v>0</v>
      </c>
      <c r="L442" s="208"/>
      <c r="M442" s="209"/>
      <c r="N442" s="209"/>
      <c r="O442" s="209"/>
      <c r="P442" s="209"/>
      <c r="Q442" s="209"/>
      <c r="R442" s="209"/>
      <c r="S442" s="209"/>
      <c r="T442" s="209"/>
      <c r="U442" s="209"/>
      <c r="V442" s="209"/>
      <c r="W442" s="209"/>
    </row>
    <row r="443" spans="1:23" ht="11.25" customHeight="1" x14ac:dyDescent="0.25">
      <c r="A443" s="1165" t="s">
        <v>2380</v>
      </c>
      <c r="B443" s="1041"/>
      <c r="C443" s="1050">
        <v>0</v>
      </c>
      <c r="D443" s="1052">
        <v>3435.56</v>
      </c>
      <c r="E443" s="1052">
        <v>2198.89</v>
      </c>
      <c r="F443" s="1052">
        <v>2836</v>
      </c>
      <c r="G443" s="1048">
        <f>F443+-1236</f>
        <v>1600</v>
      </c>
      <c r="H443" s="1048">
        <f t="shared" si="59"/>
        <v>1600</v>
      </c>
      <c r="I443" s="1048">
        <v>14771</v>
      </c>
      <c r="J443" s="1048">
        <v>15642.489</v>
      </c>
      <c r="K443" s="1048">
        <v>16518.468384</v>
      </c>
      <c r="L443" s="208"/>
      <c r="M443" s="209"/>
      <c r="N443" s="209"/>
      <c r="O443" s="209"/>
      <c r="P443" s="209"/>
      <c r="Q443" s="209"/>
      <c r="R443" s="209"/>
      <c r="S443" s="209"/>
      <c r="T443" s="209"/>
      <c r="U443" s="209"/>
      <c r="V443" s="209"/>
      <c r="W443" s="209"/>
    </row>
    <row r="444" spans="1:23" ht="11.25" customHeight="1" x14ac:dyDescent="0.25">
      <c r="A444" s="1165" t="s">
        <v>2494</v>
      </c>
      <c r="B444" s="1041"/>
      <c r="C444" s="1050">
        <v>0</v>
      </c>
      <c r="D444" s="1050">
        <v>0</v>
      </c>
      <c r="E444" s="1052">
        <v>0</v>
      </c>
      <c r="F444" s="1052">
        <v>0</v>
      </c>
      <c r="G444" s="1048">
        <v>0</v>
      </c>
      <c r="H444" s="1048">
        <f t="shared" si="59"/>
        <v>0</v>
      </c>
      <c r="I444" s="1048"/>
      <c r="J444" s="1048">
        <f t="shared" si="60"/>
        <v>0</v>
      </c>
      <c r="K444" s="1048">
        <f t="shared" si="61"/>
        <v>0</v>
      </c>
      <c r="L444" s="208"/>
      <c r="M444" s="209"/>
      <c r="N444" s="209"/>
      <c r="O444" s="209"/>
      <c r="P444" s="209"/>
      <c r="Q444" s="209"/>
      <c r="R444" s="209"/>
      <c r="S444" s="209"/>
      <c r="T444" s="209"/>
      <c r="U444" s="209"/>
      <c r="V444" s="209"/>
      <c r="W444" s="209"/>
    </row>
    <row r="445" spans="1:23" ht="11.25" customHeight="1" x14ac:dyDescent="0.25">
      <c r="A445" s="1165" t="s">
        <v>2446</v>
      </c>
      <c r="B445" s="1041"/>
      <c r="C445" s="1050">
        <v>0</v>
      </c>
      <c r="D445" s="1052">
        <v>2000</v>
      </c>
      <c r="E445" s="1052">
        <v>0</v>
      </c>
      <c r="F445" s="1052">
        <v>2450</v>
      </c>
      <c r="G445" s="1048">
        <f>F445</f>
        <v>2450</v>
      </c>
      <c r="H445" s="1048">
        <f t="shared" si="59"/>
        <v>2450</v>
      </c>
      <c r="I445" s="1048">
        <v>14400</v>
      </c>
      <c r="J445" s="1048">
        <v>15249.599999999999</v>
      </c>
      <c r="K445" s="1048">
        <v>16103.577599999999</v>
      </c>
      <c r="L445" s="208"/>
      <c r="M445" s="209"/>
      <c r="N445" s="209"/>
      <c r="O445" s="209"/>
      <c r="P445" s="209"/>
      <c r="Q445" s="209"/>
      <c r="R445" s="209"/>
      <c r="S445" s="209"/>
      <c r="T445" s="209"/>
      <c r="U445" s="209"/>
      <c r="V445" s="209"/>
      <c r="W445" s="209"/>
    </row>
    <row r="446" spans="1:23" ht="11.25" customHeight="1" x14ac:dyDescent="0.25">
      <c r="A446" s="1165" t="s">
        <v>2447</v>
      </c>
      <c r="B446" s="1041"/>
      <c r="C446" s="1050">
        <v>0</v>
      </c>
      <c r="D446" s="1052"/>
      <c r="E446" s="1052">
        <v>0</v>
      </c>
      <c r="F446" s="1052">
        <v>0</v>
      </c>
      <c r="G446" s="1048">
        <v>0</v>
      </c>
      <c r="H446" s="1048">
        <f t="shared" si="59"/>
        <v>0</v>
      </c>
      <c r="I446" s="1048"/>
      <c r="J446" s="1048">
        <f t="shared" si="60"/>
        <v>0</v>
      </c>
      <c r="K446" s="1048">
        <f t="shared" si="61"/>
        <v>0</v>
      </c>
      <c r="L446" s="208"/>
      <c r="M446" s="209"/>
      <c r="N446" s="209"/>
      <c r="O446" s="209"/>
      <c r="P446" s="209"/>
      <c r="Q446" s="209"/>
      <c r="R446" s="209"/>
      <c r="S446" s="209"/>
      <c r="T446" s="209"/>
      <c r="U446" s="209"/>
      <c r="V446" s="209"/>
      <c r="W446" s="209"/>
    </row>
    <row r="447" spans="1:23" ht="11.25" customHeight="1" x14ac:dyDescent="0.25">
      <c r="A447" s="1165" t="s">
        <v>2391</v>
      </c>
      <c r="B447" s="1041"/>
      <c r="C447" s="1050">
        <v>0</v>
      </c>
      <c r="D447" s="1052">
        <v>3238.82</v>
      </c>
      <c r="E447" s="1052">
        <v>2217.84</v>
      </c>
      <c r="F447" s="1052">
        <v>3200</v>
      </c>
      <c r="G447" s="1048">
        <f>F447+-1900</f>
        <v>1300</v>
      </c>
      <c r="H447" s="1048">
        <f t="shared" si="59"/>
        <v>1300</v>
      </c>
      <c r="I447" s="1048">
        <v>14771</v>
      </c>
      <c r="J447" s="1048">
        <v>15642.489</v>
      </c>
      <c r="K447" s="1048">
        <v>16518.468384</v>
      </c>
      <c r="L447" s="208"/>
      <c r="M447" s="209"/>
      <c r="N447" s="209"/>
      <c r="O447" s="209"/>
      <c r="P447" s="209"/>
      <c r="Q447" s="209"/>
      <c r="R447" s="209"/>
      <c r="S447" s="209"/>
      <c r="T447" s="209"/>
      <c r="U447" s="209"/>
      <c r="V447" s="209"/>
      <c r="W447" s="209"/>
    </row>
    <row r="448" spans="1:23" ht="11.25" customHeight="1" x14ac:dyDescent="0.25">
      <c r="A448" s="1165" t="s">
        <v>2504</v>
      </c>
      <c r="B448" s="1041"/>
      <c r="C448" s="1050">
        <v>0</v>
      </c>
      <c r="D448" s="1052">
        <v>1669392.99</v>
      </c>
      <c r="E448" s="1052">
        <v>3297937.27</v>
      </c>
      <c r="F448" s="1052">
        <v>2500000</v>
      </c>
      <c r="G448" s="1048">
        <f>F448+-1364881</f>
        <v>1135119</v>
      </c>
      <c r="H448" s="1048">
        <f t="shared" si="59"/>
        <v>1135119</v>
      </c>
      <c r="I448" s="1048"/>
      <c r="J448" s="1048">
        <f t="shared" si="60"/>
        <v>0</v>
      </c>
      <c r="K448" s="1048">
        <f t="shared" si="61"/>
        <v>0</v>
      </c>
      <c r="L448" s="208"/>
      <c r="M448" s="209"/>
      <c r="N448" s="209"/>
      <c r="O448" s="209"/>
      <c r="P448" s="209"/>
      <c r="Q448" s="209"/>
      <c r="R448" s="209"/>
      <c r="S448" s="209"/>
      <c r="T448" s="209"/>
      <c r="U448" s="209"/>
      <c r="V448" s="209"/>
      <c r="W448" s="209"/>
    </row>
    <row r="449" spans="1:23" ht="11.25" customHeight="1" x14ac:dyDescent="0.25">
      <c r="A449" s="1165" t="s">
        <v>2496</v>
      </c>
      <c r="B449" s="1041"/>
      <c r="C449" s="1050">
        <v>0</v>
      </c>
      <c r="D449" s="1052">
        <v>982.78</v>
      </c>
      <c r="E449" s="1052">
        <v>0</v>
      </c>
      <c r="F449" s="1052">
        <v>100000</v>
      </c>
      <c r="G449" s="1048">
        <f>F449+-98098.05</f>
        <v>1901.9499999999971</v>
      </c>
      <c r="H449" s="1048">
        <f t="shared" si="59"/>
        <v>1901.9499999999971</v>
      </c>
      <c r="I449" s="1048">
        <v>100000</v>
      </c>
      <c r="J449" s="1048">
        <f t="shared" si="60"/>
        <v>105900</v>
      </c>
      <c r="K449" s="1048">
        <f t="shared" si="61"/>
        <v>111830.40000000001</v>
      </c>
      <c r="L449" s="208"/>
      <c r="M449" s="209"/>
      <c r="N449" s="209"/>
      <c r="O449" s="209"/>
      <c r="P449" s="209"/>
      <c r="Q449" s="209"/>
      <c r="R449" s="209"/>
      <c r="S449" s="209"/>
      <c r="T449" s="209"/>
      <c r="U449" s="209"/>
      <c r="V449" s="209"/>
      <c r="W449" s="209"/>
    </row>
    <row r="450" spans="1:23" ht="11.25" customHeight="1" x14ac:dyDescent="0.25">
      <c r="A450" s="1165" t="s">
        <v>2505</v>
      </c>
      <c r="B450" s="1041"/>
      <c r="C450" s="1050">
        <v>0</v>
      </c>
      <c r="D450" s="1052">
        <v>624746.39</v>
      </c>
      <c r="E450" s="1052">
        <v>195172.68</v>
      </c>
      <c r="F450" s="1052">
        <v>100000</v>
      </c>
      <c r="G450" s="1048">
        <f>F450+-100000</f>
        <v>0</v>
      </c>
      <c r="H450" s="1048">
        <f t="shared" si="59"/>
        <v>0</v>
      </c>
      <c r="I450" s="1048">
        <v>100000</v>
      </c>
      <c r="J450" s="1048">
        <f t="shared" si="60"/>
        <v>105900</v>
      </c>
      <c r="K450" s="1048">
        <f t="shared" si="61"/>
        <v>111830.40000000001</v>
      </c>
      <c r="L450" s="208"/>
      <c r="M450" s="209"/>
      <c r="N450" s="209"/>
      <c r="O450" s="209"/>
      <c r="P450" s="209"/>
      <c r="Q450" s="209"/>
      <c r="R450" s="209"/>
      <c r="S450" s="209"/>
      <c r="T450" s="209"/>
      <c r="U450" s="209"/>
      <c r="V450" s="209"/>
      <c r="W450" s="209"/>
    </row>
    <row r="451" spans="1:23" ht="11.25" customHeight="1" x14ac:dyDescent="0.25">
      <c r="A451" s="1165"/>
      <c r="B451" s="1041"/>
      <c r="C451" s="1048"/>
      <c r="D451" s="1048"/>
      <c r="E451" s="1049"/>
      <c r="F451" s="1050"/>
      <c r="G451" s="1048"/>
      <c r="H451" s="1048"/>
      <c r="I451" s="1052"/>
      <c r="J451" s="1048"/>
      <c r="K451" s="2677"/>
      <c r="L451" s="208"/>
      <c r="M451" s="209"/>
      <c r="N451" s="209"/>
      <c r="O451" s="209"/>
      <c r="P451" s="209"/>
      <c r="Q451" s="209"/>
      <c r="R451" s="209"/>
      <c r="S451" s="209"/>
      <c r="T451" s="209"/>
      <c r="U451" s="209"/>
      <c r="V451" s="209"/>
      <c r="W451" s="209"/>
    </row>
    <row r="452" spans="1:23" ht="11.25" customHeight="1" x14ac:dyDescent="0.25">
      <c r="A452" s="1165">
        <f>A83</f>
        <v>0</v>
      </c>
      <c r="B452" s="1041"/>
      <c r="C452" s="1048"/>
      <c r="D452" s="1048"/>
      <c r="E452" s="1049"/>
      <c r="F452" s="1050"/>
      <c r="G452" s="1048"/>
      <c r="H452" s="1051"/>
      <c r="I452" s="1052"/>
      <c r="J452" s="1048"/>
      <c r="K452" s="2677"/>
      <c r="L452" s="208"/>
      <c r="M452" s="209"/>
      <c r="N452" s="209"/>
      <c r="O452" s="209"/>
      <c r="P452" s="209"/>
      <c r="Q452" s="209"/>
      <c r="R452" s="209"/>
      <c r="S452" s="209"/>
      <c r="T452" s="209"/>
      <c r="U452" s="209"/>
      <c r="V452" s="209"/>
      <c r="W452" s="209"/>
    </row>
    <row r="453" spans="1:23" ht="11.25" customHeight="1" x14ac:dyDescent="0.25">
      <c r="A453" s="1165">
        <f>A84</f>
        <v>0</v>
      </c>
      <c r="B453" s="1041"/>
      <c r="C453" s="1048"/>
      <c r="D453" s="1048"/>
      <c r="E453" s="1049"/>
      <c r="F453" s="1050"/>
      <c r="G453" s="1048"/>
      <c r="H453" s="1051"/>
      <c r="I453" s="1052"/>
      <c r="J453" s="1048"/>
      <c r="K453" s="2677"/>
      <c r="L453" s="208"/>
      <c r="M453" s="209"/>
      <c r="N453" s="209"/>
      <c r="O453" s="209"/>
      <c r="P453" s="209"/>
      <c r="Q453" s="209"/>
      <c r="R453" s="209"/>
      <c r="S453" s="209"/>
      <c r="T453" s="209"/>
      <c r="U453" s="209"/>
      <c r="V453" s="209"/>
      <c r="W453" s="209"/>
    </row>
    <row r="454" spans="1:23" ht="15" customHeight="1" x14ac:dyDescent="0.25">
      <c r="A454" s="1164" t="str">
        <f>A85</f>
        <v>Vote 9 - 540 WATER SERVICES</v>
      </c>
      <c r="B454" s="1041"/>
      <c r="C454" s="971">
        <f t="shared" ref="C454:K454" si="62">SUM(C455:C496)</f>
        <v>0</v>
      </c>
      <c r="D454" s="971">
        <f t="shared" si="62"/>
        <v>172498202.19999999</v>
      </c>
      <c r="E454" s="972">
        <f t="shared" si="62"/>
        <v>166161214.99999997</v>
      </c>
      <c r="F454" s="973">
        <f t="shared" si="62"/>
        <v>144290029.648256</v>
      </c>
      <c r="G454" s="971">
        <f t="shared" si="62"/>
        <v>101786319.78825602</v>
      </c>
      <c r="H454" s="974">
        <f t="shared" si="62"/>
        <v>101786319.78825602</v>
      </c>
      <c r="I454" s="975">
        <f t="shared" si="62"/>
        <v>193830062</v>
      </c>
      <c r="J454" s="971">
        <f t="shared" si="62"/>
        <v>205266035.65799999</v>
      </c>
      <c r="K454" s="971">
        <f t="shared" si="62"/>
        <v>216760933.65484798</v>
      </c>
      <c r="L454" s="208"/>
      <c r="M454" s="209"/>
      <c r="N454" s="209"/>
      <c r="O454" s="209"/>
      <c r="P454" s="209"/>
      <c r="Q454" s="209"/>
      <c r="R454" s="209"/>
      <c r="S454" s="209"/>
      <c r="T454" s="209"/>
      <c r="U454" s="209"/>
      <c r="V454" s="209"/>
      <c r="W454" s="209"/>
    </row>
    <row r="455" spans="1:23" ht="11.25" customHeight="1" x14ac:dyDescent="0.25">
      <c r="A455" s="1165" t="s">
        <v>2375</v>
      </c>
      <c r="B455" s="1041"/>
      <c r="C455" s="1050">
        <v>0</v>
      </c>
      <c r="D455" s="1052">
        <v>9188721.8699999992</v>
      </c>
      <c r="E455" s="1052">
        <v>8895199.5899999999</v>
      </c>
      <c r="F455" s="1052">
        <v>9956523</v>
      </c>
      <c r="G455" s="1048">
        <f>F455+-856523</f>
        <v>9100000</v>
      </c>
      <c r="H455" s="1048">
        <f>G455</f>
        <v>9100000</v>
      </c>
      <c r="I455" s="1048">
        <v>9678204</v>
      </c>
      <c r="J455" s="1048">
        <v>10249218.036</v>
      </c>
      <c r="K455" s="1048">
        <v>10823174.246016001</v>
      </c>
      <c r="L455" s="208"/>
      <c r="M455" s="209"/>
      <c r="N455" s="209"/>
      <c r="O455" s="209"/>
      <c r="P455" s="209"/>
      <c r="Q455" s="209"/>
      <c r="R455" s="209"/>
      <c r="S455" s="209"/>
      <c r="T455" s="209"/>
      <c r="U455" s="209"/>
      <c r="V455" s="209"/>
      <c r="W455" s="209"/>
    </row>
    <row r="456" spans="1:23" ht="11.25" customHeight="1" x14ac:dyDescent="0.25">
      <c r="A456" s="1165" t="s">
        <v>2432</v>
      </c>
      <c r="B456" s="1041"/>
      <c r="C456" s="1050">
        <v>0</v>
      </c>
      <c r="D456" s="1052">
        <v>828568.13</v>
      </c>
      <c r="E456" s="1052">
        <v>780023.28</v>
      </c>
      <c r="F456" s="1052">
        <v>829710</v>
      </c>
      <c r="G456" s="1048">
        <f>F456+-310871.24</f>
        <v>518838.76</v>
      </c>
      <c r="H456" s="1048">
        <f t="shared" ref="H456:H492" si="63">G456</f>
        <v>518838.76</v>
      </c>
      <c r="I456" s="1048">
        <v>806517</v>
      </c>
      <c r="J456" s="1048">
        <v>854101.50299999991</v>
      </c>
      <c r="K456" s="1048">
        <v>901931.18716799992</v>
      </c>
      <c r="L456" s="208"/>
      <c r="M456" s="209"/>
      <c r="N456" s="209"/>
      <c r="O456" s="209"/>
      <c r="P456" s="209"/>
      <c r="Q456" s="209"/>
      <c r="R456" s="209"/>
      <c r="S456" s="209"/>
      <c r="T456" s="209"/>
      <c r="U456" s="209"/>
      <c r="V456" s="209"/>
      <c r="W456" s="209"/>
    </row>
    <row r="457" spans="1:23" ht="11.25" customHeight="1" x14ac:dyDescent="0.25">
      <c r="A457" s="1165" t="s">
        <v>2457</v>
      </c>
      <c r="B457" s="1041"/>
      <c r="C457" s="1050">
        <v>0</v>
      </c>
      <c r="D457" s="1052">
        <v>6069</v>
      </c>
      <c r="E457" s="1052">
        <v>3847.12</v>
      </c>
      <c r="F457" s="1052">
        <v>6200</v>
      </c>
      <c r="G457" s="1048">
        <f>F457+-3327</f>
        <v>2873</v>
      </c>
      <c r="H457" s="1048">
        <f t="shared" si="63"/>
        <v>2873</v>
      </c>
      <c r="I457" s="1048">
        <v>6351</v>
      </c>
      <c r="J457" s="1048">
        <v>6725.7089999999998</v>
      </c>
      <c r="K457" s="1048">
        <v>7102.348704</v>
      </c>
      <c r="L457" s="208"/>
      <c r="M457" s="209"/>
      <c r="N457" s="209"/>
      <c r="O457" s="209"/>
      <c r="P457" s="209"/>
      <c r="Q457" s="209"/>
      <c r="R457" s="209"/>
      <c r="S457" s="209"/>
      <c r="T457" s="209"/>
      <c r="U457" s="209"/>
      <c r="V457" s="209"/>
      <c r="W457" s="209"/>
    </row>
    <row r="458" spans="1:23" ht="11.25" customHeight="1" x14ac:dyDescent="0.25">
      <c r="A458" s="1165" t="s">
        <v>2434</v>
      </c>
      <c r="B458" s="1041"/>
      <c r="C458" s="1050">
        <v>0</v>
      </c>
      <c r="D458" s="1052">
        <v>575068.29</v>
      </c>
      <c r="E458" s="1052">
        <v>168098.29</v>
      </c>
      <c r="F458" s="1052">
        <v>0</v>
      </c>
      <c r="G458" s="1048">
        <v>0</v>
      </c>
      <c r="H458" s="1048">
        <f t="shared" si="63"/>
        <v>0</v>
      </c>
      <c r="I458" s="1052">
        <v>0</v>
      </c>
      <c r="J458" s="1048">
        <f t="shared" ref="J458:J494" si="64">I458*1.059</f>
        <v>0</v>
      </c>
      <c r="K458" s="1048">
        <f t="shared" ref="K458:K494" si="65">J458*1.056</f>
        <v>0</v>
      </c>
      <c r="L458" s="208"/>
      <c r="M458" s="209"/>
      <c r="N458" s="209"/>
      <c r="O458" s="209"/>
      <c r="P458" s="209"/>
      <c r="Q458" s="209"/>
      <c r="R458" s="209"/>
      <c r="S458" s="209"/>
      <c r="T458" s="209"/>
      <c r="U458" s="209"/>
      <c r="V458" s="209"/>
      <c r="W458" s="209"/>
    </row>
    <row r="459" spans="1:23" ht="11.25" customHeight="1" x14ac:dyDescent="0.25">
      <c r="A459" s="1165" t="s">
        <v>2435</v>
      </c>
      <c r="B459" s="1041"/>
      <c r="C459" s="1050">
        <v>0</v>
      </c>
      <c r="D459" s="1052">
        <v>1178722.8899999999</v>
      </c>
      <c r="E459" s="1052">
        <v>889967.22</v>
      </c>
      <c r="F459" s="1052">
        <v>150000</v>
      </c>
      <c r="G459" s="1048">
        <f>F459+-150000</f>
        <v>0</v>
      </c>
      <c r="H459" s="1048">
        <f t="shared" si="63"/>
        <v>0</v>
      </c>
      <c r="I459" s="1052">
        <v>0</v>
      </c>
      <c r="J459" s="1048">
        <f t="shared" si="64"/>
        <v>0</v>
      </c>
      <c r="K459" s="1048">
        <f t="shared" si="65"/>
        <v>0</v>
      </c>
      <c r="L459" s="208"/>
      <c r="M459" s="209"/>
      <c r="N459" s="209"/>
      <c r="O459" s="209"/>
      <c r="P459" s="209"/>
      <c r="Q459" s="209"/>
      <c r="R459" s="209"/>
      <c r="S459" s="209"/>
      <c r="T459" s="209"/>
      <c r="U459" s="209"/>
      <c r="V459" s="209"/>
      <c r="W459" s="209"/>
    </row>
    <row r="460" spans="1:23" ht="11.25" customHeight="1" x14ac:dyDescent="0.25">
      <c r="A460" s="1165" t="s">
        <v>2376</v>
      </c>
      <c r="B460" s="1041"/>
      <c r="C460" s="1050">
        <v>0</v>
      </c>
      <c r="D460" s="1052">
        <v>1679925.85</v>
      </c>
      <c r="E460" s="1052">
        <v>1683155.36</v>
      </c>
      <c r="F460" s="1052">
        <v>1823950</v>
      </c>
      <c r="G460" s="1048">
        <f>F460</f>
        <v>1823950</v>
      </c>
      <c r="H460" s="1048">
        <f t="shared" si="63"/>
        <v>1823950</v>
      </c>
      <c r="I460" s="1048">
        <v>2091978</v>
      </c>
      <c r="J460" s="1048">
        <v>2215404.702</v>
      </c>
      <c r="K460" s="1048">
        <v>2339467.3653120003</v>
      </c>
      <c r="L460" s="208"/>
      <c r="M460" s="209"/>
      <c r="N460" s="209"/>
      <c r="O460" s="209"/>
      <c r="P460" s="209"/>
      <c r="Q460" s="209"/>
      <c r="R460" s="209"/>
      <c r="S460" s="209"/>
      <c r="T460" s="209"/>
      <c r="U460" s="209"/>
      <c r="V460" s="209"/>
      <c r="W460" s="209"/>
    </row>
    <row r="461" spans="1:23" ht="11.25" customHeight="1" x14ac:dyDescent="0.25">
      <c r="A461" s="1165" t="s">
        <v>2377</v>
      </c>
      <c r="B461" s="1041"/>
      <c r="C461" s="1050">
        <v>0</v>
      </c>
      <c r="D461" s="1052">
        <v>216115.5</v>
      </c>
      <c r="E461" s="1052">
        <v>375085.38</v>
      </c>
      <c r="F461" s="1052">
        <v>35363</v>
      </c>
      <c r="G461" s="1048">
        <f>F461+526637</f>
        <v>562000</v>
      </c>
      <c r="H461" s="1048">
        <f t="shared" si="63"/>
        <v>562000</v>
      </c>
      <c r="I461" s="1048">
        <v>764503</v>
      </c>
      <c r="J461" s="1048">
        <v>809608.67699999991</v>
      </c>
      <c r="K461" s="1048">
        <v>854946.76291199995</v>
      </c>
      <c r="L461" s="208"/>
      <c r="M461" s="209"/>
      <c r="N461" s="209"/>
      <c r="O461" s="209"/>
      <c r="P461" s="209"/>
      <c r="Q461" s="209"/>
      <c r="R461" s="209"/>
      <c r="S461" s="209"/>
      <c r="T461" s="209"/>
      <c r="U461" s="209"/>
      <c r="V461" s="209"/>
      <c r="W461" s="209"/>
    </row>
    <row r="462" spans="1:23" ht="11.25" customHeight="1" x14ac:dyDescent="0.25">
      <c r="A462" s="1165" t="s">
        <v>2378</v>
      </c>
      <c r="B462" s="1041"/>
      <c r="C462" s="1050">
        <v>0</v>
      </c>
      <c r="D462" s="1052"/>
      <c r="E462" s="1052"/>
      <c r="F462" s="1052">
        <v>0</v>
      </c>
      <c r="G462" s="1048">
        <v>0</v>
      </c>
      <c r="H462" s="1048">
        <f t="shared" si="63"/>
        <v>0</v>
      </c>
      <c r="I462" s="1052">
        <v>0</v>
      </c>
      <c r="J462" s="1048">
        <f t="shared" si="64"/>
        <v>0</v>
      </c>
      <c r="K462" s="1048">
        <f t="shared" si="65"/>
        <v>0</v>
      </c>
      <c r="L462" s="208"/>
      <c r="M462" s="209"/>
      <c r="N462" s="209"/>
      <c r="O462" s="209"/>
      <c r="P462" s="209"/>
      <c r="Q462" s="209"/>
      <c r="R462" s="209"/>
      <c r="S462" s="209"/>
      <c r="T462" s="209"/>
      <c r="U462" s="209"/>
      <c r="V462" s="209"/>
      <c r="W462" s="209"/>
    </row>
    <row r="463" spans="1:23" ht="11.25" customHeight="1" x14ac:dyDescent="0.25">
      <c r="A463" s="1165" t="s">
        <v>2379</v>
      </c>
      <c r="B463" s="1041"/>
      <c r="C463" s="1050">
        <v>0</v>
      </c>
      <c r="D463" s="1052">
        <v>34930.769999999997</v>
      </c>
      <c r="E463" s="1052">
        <v>17862</v>
      </c>
      <c r="F463" s="1052">
        <v>35230</v>
      </c>
      <c r="G463" s="1048">
        <f>F463+-15230</f>
        <v>20000</v>
      </c>
      <c r="H463" s="1048">
        <f t="shared" si="63"/>
        <v>20000</v>
      </c>
      <c r="I463" s="1048">
        <v>8244</v>
      </c>
      <c r="J463" s="1048">
        <v>8730.3959999999988</v>
      </c>
      <c r="K463" s="1048">
        <v>9219.2981759999984</v>
      </c>
      <c r="L463" s="208"/>
      <c r="M463" s="209"/>
      <c r="N463" s="209"/>
      <c r="O463" s="209"/>
      <c r="P463" s="209"/>
      <c r="Q463" s="209"/>
      <c r="R463" s="209"/>
      <c r="S463" s="209"/>
      <c r="T463" s="209"/>
      <c r="U463" s="209"/>
      <c r="V463" s="209"/>
      <c r="W463" s="209"/>
    </row>
    <row r="464" spans="1:23" ht="11.25" customHeight="1" x14ac:dyDescent="0.25">
      <c r="A464" s="1165" t="s">
        <v>2380</v>
      </c>
      <c r="B464" s="1041"/>
      <c r="C464" s="1050">
        <v>0</v>
      </c>
      <c r="D464" s="1052">
        <v>105883.79</v>
      </c>
      <c r="E464" s="1052">
        <v>100635.34</v>
      </c>
      <c r="F464" s="1052">
        <v>100000</v>
      </c>
      <c r="G464" s="1048">
        <f>F464</f>
        <v>100000</v>
      </c>
      <c r="H464" s="1048">
        <f t="shared" si="63"/>
        <v>100000</v>
      </c>
      <c r="I464" s="1048">
        <v>96782</v>
      </c>
      <c r="J464" s="1048">
        <v>102492.13799999999</v>
      </c>
      <c r="K464" s="1048">
        <v>108231.697728</v>
      </c>
      <c r="L464" s="208"/>
      <c r="M464" s="209"/>
      <c r="N464" s="209"/>
      <c r="O464" s="209"/>
      <c r="P464" s="209"/>
      <c r="Q464" s="209"/>
      <c r="R464" s="209"/>
      <c r="S464" s="209"/>
      <c r="T464" s="209"/>
      <c r="U464" s="209"/>
      <c r="V464" s="209"/>
      <c r="W464" s="209"/>
    </row>
    <row r="465" spans="1:23" ht="11.25" customHeight="1" x14ac:dyDescent="0.25">
      <c r="A465" s="1165" t="s">
        <v>2506</v>
      </c>
      <c r="B465" s="1041"/>
      <c r="C465" s="1050">
        <v>0</v>
      </c>
      <c r="D465" s="1050">
        <v>0</v>
      </c>
      <c r="E465" s="1052"/>
      <c r="F465" s="1052">
        <v>0</v>
      </c>
      <c r="G465" s="1048">
        <v>0</v>
      </c>
      <c r="H465" s="1048">
        <f t="shared" si="63"/>
        <v>0</v>
      </c>
      <c r="I465" s="1052">
        <v>0</v>
      </c>
      <c r="J465" s="1048">
        <f t="shared" si="64"/>
        <v>0</v>
      </c>
      <c r="K465" s="1048">
        <f t="shared" si="65"/>
        <v>0</v>
      </c>
      <c r="L465" s="208"/>
      <c r="M465" s="209"/>
      <c r="N465" s="209"/>
      <c r="O465" s="209"/>
      <c r="P465" s="209"/>
      <c r="Q465" s="209"/>
      <c r="R465" s="209"/>
      <c r="S465" s="209"/>
      <c r="T465" s="209"/>
      <c r="U465" s="209"/>
      <c r="V465" s="209"/>
      <c r="W465" s="209"/>
    </row>
    <row r="466" spans="1:23" ht="11.25" customHeight="1" x14ac:dyDescent="0.25">
      <c r="A466" s="1165" t="s">
        <v>2494</v>
      </c>
      <c r="B466" s="1041"/>
      <c r="C466" s="1050">
        <v>0</v>
      </c>
      <c r="D466" s="1050">
        <v>0</v>
      </c>
      <c r="E466" s="1052"/>
      <c r="F466" s="1052">
        <v>0</v>
      </c>
      <c r="G466" s="1048">
        <v>0</v>
      </c>
      <c r="H466" s="1048">
        <f t="shared" si="63"/>
        <v>0</v>
      </c>
      <c r="I466" s="1052">
        <v>0</v>
      </c>
      <c r="J466" s="1048">
        <f t="shared" si="64"/>
        <v>0</v>
      </c>
      <c r="K466" s="1048">
        <f t="shared" si="65"/>
        <v>0</v>
      </c>
      <c r="L466" s="208"/>
      <c r="M466" s="209"/>
      <c r="N466" s="209"/>
      <c r="O466" s="209"/>
      <c r="P466" s="209"/>
      <c r="Q466" s="209"/>
      <c r="R466" s="209"/>
      <c r="S466" s="209"/>
      <c r="T466" s="209"/>
      <c r="U466" s="209"/>
      <c r="V466" s="209"/>
      <c r="W466" s="209"/>
    </row>
    <row r="467" spans="1:23" ht="11.25" customHeight="1" x14ac:dyDescent="0.25">
      <c r="A467" s="1165" t="s">
        <v>2446</v>
      </c>
      <c r="B467" s="1041"/>
      <c r="C467" s="1050">
        <v>0</v>
      </c>
      <c r="D467" s="1052">
        <v>46800</v>
      </c>
      <c r="E467" s="1052">
        <v>23583.439999999999</v>
      </c>
      <c r="F467" s="1052">
        <v>10000</v>
      </c>
      <c r="G467" s="1048">
        <f>F467+22300</f>
        <v>32300</v>
      </c>
      <c r="H467" s="1048">
        <f t="shared" si="63"/>
        <v>32300</v>
      </c>
      <c r="I467" s="1048">
        <v>48000</v>
      </c>
      <c r="J467" s="1048">
        <v>50832</v>
      </c>
      <c r="K467" s="1048">
        <v>53678.592000000004</v>
      </c>
      <c r="L467" s="208"/>
      <c r="M467" s="209"/>
      <c r="N467" s="209"/>
      <c r="O467" s="209"/>
      <c r="P467" s="209"/>
      <c r="Q467" s="209"/>
      <c r="R467" s="209"/>
      <c r="S467" s="209"/>
      <c r="T467" s="209"/>
      <c r="U467" s="209"/>
      <c r="V467" s="209"/>
      <c r="W467" s="209"/>
    </row>
    <row r="468" spans="1:23" ht="11.25" customHeight="1" x14ac:dyDescent="0.25">
      <c r="A468" s="1165" t="s">
        <v>2447</v>
      </c>
      <c r="B468" s="1041"/>
      <c r="C468" s="1050">
        <v>0</v>
      </c>
      <c r="D468" s="1050">
        <v>0</v>
      </c>
      <c r="E468" s="1052">
        <v>49000</v>
      </c>
      <c r="F468" s="1052">
        <v>0</v>
      </c>
      <c r="G468" s="1048">
        <v>14000</v>
      </c>
      <c r="H468" s="1048">
        <f t="shared" si="63"/>
        <v>14000</v>
      </c>
      <c r="I468" s="1048">
        <v>0</v>
      </c>
      <c r="J468" s="1048">
        <f t="shared" si="64"/>
        <v>0</v>
      </c>
      <c r="K468" s="1048">
        <f t="shared" si="65"/>
        <v>0</v>
      </c>
      <c r="L468" s="208"/>
      <c r="M468" s="209"/>
      <c r="N468" s="209"/>
      <c r="O468" s="209"/>
      <c r="P468" s="209"/>
      <c r="Q468" s="209"/>
      <c r="R468" s="209"/>
      <c r="S468" s="209"/>
      <c r="T468" s="209"/>
      <c r="U468" s="209"/>
      <c r="V468" s="209"/>
      <c r="W468" s="209"/>
    </row>
    <row r="469" spans="1:23" ht="11.25" customHeight="1" x14ac:dyDescent="0.25">
      <c r="A469" s="1165" t="s">
        <v>2391</v>
      </c>
      <c r="B469" s="1041"/>
      <c r="C469" s="1050">
        <v>0</v>
      </c>
      <c r="D469" s="1052">
        <v>114373.41</v>
      </c>
      <c r="E469" s="1052">
        <v>102607.76</v>
      </c>
      <c r="F469" s="1052">
        <v>113760</v>
      </c>
      <c r="G469" s="1048">
        <f>F469</f>
        <v>113760</v>
      </c>
      <c r="H469" s="1048">
        <f t="shared" si="63"/>
        <v>113760</v>
      </c>
      <c r="I469" s="1048">
        <v>96782</v>
      </c>
      <c r="J469" s="1048">
        <v>102492.13799999999</v>
      </c>
      <c r="K469" s="1048">
        <v>108231.697728</v>
      </c>
      <c r="L469" s="208"/>
      <c r="M469" s="209"/>
      <c r="N469" s="209"/>
      <c r="O469" s="209"/>
      <c r="P469" s="209"/>
      <c r="Q469" s="209"/>
      <c r="R469" s="209"/>
      <c r="S469" s="209"/>
      <c r="T469" s="209"/>
      <c r="U469" s="209"/>
      <c r="V469" s="209"/>
      <c r="W469" s="209"/>
    </row>
    <row r="470" spans="1:23" ht="11.25" customHeight="1" x14ac:dyDescent="0.25">
      <c r="A470" s="1165" t="s">
        <v>2507</v>
      </c>
      <c r="B470" s="1041"/>
      <c r="C470" s="1050">
        <v>0</v>
      </c>
      <c r="D470" s="1052">
        <v>1016159.58</v>
      </c>
      <c r="E470" s="1052">
        <v>4427738.4800000004</v>
      </c>
      <c r="F470" s="1052">
        <v>2000000</v>
      </c>
      <c r="G470" s="1048">
        <f>F470+-986801.69</f>
        <v>1013198.31</v>
      </c>
      <c r="H470" s="1048">
        <f t="shared" si="63"/>
        <v>1013198.31</v>
      </c>
      <c r="I470" s="1048">
        <v>250000</v>
      </c>
      <c r="J470" s="1048">
        <v>264750</v>
      </c>
      <c r="K470" s="1048">
        <v>279576</v>
      </c>
      <c r="L470" s="208"/>
      <c r="M470" s="209"/>
      <c r="N470" s="209"/>
      <c r="O470" s="209"/>
      <c r="P470" s="209"/>
      <c r="Q470" s="209"/>
      <c r="R470" s="209"/>
      <c r="S470" s="209"/>
      <c r="T470" s="209"/>
      <c r="U470" s="209"/>
      <c r="V470" s="209"/>
      <c r="W470" s="209"/>
    </row>
    <row r="471" spans="1:23" ht="11.25" customHeight="1" x14ac:dyDescent="0.25">
      <c r="A471" s="1165" t="s">
        <v>2508</v>
      </c>
      <c r="B471" s="1041"/>
      <c r="C471" s="1050">
        <v>0</v>
      </c>
      <c r="D471" s="1052">
        <v>339511.82</v>
      </c>
      <c r="E471" s="1052">
        <v>513971.47</v>
      </c>
      <c r="F471" s="1052">
        <v>552750</v>
      </c>
      <c r="G471" s="1048">
        <f>F471+-301304.4</f>
        <v>251445.59999999998</v>
      </c>
      <c r="H471" s="1048">
        <f t="shared" si="63"/>
        <v>251445.59999999998</v>
      </c>
      <c r="I471" s="1048">
        <v>380000</v>
      </c>
      <c r="J471" s="1048">
        <v>402420</v>
      </c>
      <c r="K471" s="1048">
        <v>424955.52</v>
      </c>
      <c r="L471" s="208"/>
      <c r="M471" s="209"/>
      <c r="N471" s="209"/>
      <c r="O471" s="209"/>
      <c r="P471" s="209"/>
      <c r="Q471" s="209"/>
      <c r="R471" s="209"/>
      <c r="S471" s="209"/>
      <c r="T471" s="209"/>
      <c r="U471" s="209"/>
      <c r="V471" s="209"/>
      <c r="W471" s="209"/>
    </row>
    <row r="472" spans="1:23" ht="11.25" customHeight="1" x14ac:dyDescent="0.25">
      <c r="A472" s="1165" t="s">
        <v>2509</v>
      </c>
      <c r="B472" s="1041"/>
      <c r="C472" s="1050">
        <v>0</v>
      </c>
      <c r="D472" s="1052"/>
      <c r="E472" s="1052">
        <v>0</v>
      </c>
      <c r="F472" s="1052">
        <v>500000</v>
      </c>
      <c r="G472" s="1048">
        <f>F472+-500000</f>
        <v>0</v>
      </c>
      <c r="H472" s="1048">
        <f t="shared" si="63"/>
        <v>0</v>
      </c>
      <c r="I472" s="1052">
        <v>0</v>
      </c>
      <c r="J472" s="1048">
        <f t="shared" si="64"/>
        <v>0</v>
      </c>
      <c r="K472" s="1048">
        <f t="shared" si="65"/>
        <v>0</v>
      </c>
      <c r="L472" s="208"/>
      <c r="M472" s="209"/>
      <c r="N472" s="209"/>
      <c r="O472" s="209"/>
      <c r="P472" s="209"/>
      <c r="Q472" s="209"/>
      <c r="R472" s="209"/>
      <c r="S472" s="209"/>
      <c r="T472" s="209"/>
      <c r="U472" s="209"/>
      <c r="V472" s="209"/>
      <c r="W472" s="209"/>
    </row>
    <row r="473" spans="1:23" ht="11.25" customHeight="1" x14ac:dyDescent="0.25">
      <c r="A473" s="1165" t="s">
        <v>2510</v>
      </c>
      <c r="B473" s="1041"/>
      <c r="C473" s="1050">
        <v>0</v>
      </c>
      <c r="D473" s="1052">
        <v>11872865.279999999</v>
      </c>
      <c r="E473" s="1052">
        <v>11553889.99</v>
      </c>
      <c r="F473" s="1052">
        <v>13376543.648256002</v>
      </c>
      <c r="G473" s="1048">
        <f>F473+702074.62</f>
        <v>14078618.268256001</v>
      </c>
      <c r="H473" s="1048">
        <f t="shared" si="63"/>
        <v>14078618.268256001</v>
      </c>
      <c r="I473" s="1052">
        <v>14261640</v>
      </c>
      <c r="J473" s="1048">
        <f t="shared" si="64"/>
        <v>15103076.76</v>
      </c>
      <c r="K473" s="1048">
        <f t="shared" si="65"/>
        <v>15948849.058560001</v>
      </c>
      <c r="L473" s="208"/>
      <c r="M473" s="209"/>
      <c r="N473" s="209"/>
      <c r="O473" s="209"/>
      <c r="P473" s="209"/>
      <c r="Q473" s="209"/>
      <c r="R473" s="209"/>
      <c r="S473" s="209"/>
      <c r="T473" s="209"/>
      <c r="U473" s="209"/>
      <c r="V473" s="209"/>
      <c r="W473" s="209"/>
    </row>
    <row r="474" spans="1:23" ht="11.25" customHeight="1" x14ac:dyDescent="0.25">
      <c r="A474" s="1165" t="s">
        <v>2407</v>
      </c>
      <c r="B474" s="1041"/>
      <c r="C474" s="1050">
        <v>0</v>
      </c>
      <c r="D474" s="1052"/>
      <c r="E474" s="1052"/>
      <c r="F474" s="1052">
        <v>0</v>
      </c>
      <c r="G474" s="1048">
        <v>0</v>
      </c>
      <c r="H474" s="1048">
        <f t="shared" si="63"/>
        <v>0</v>
      </c>
      <c r="I474" s="1052">
        <v>0</v>
      </c>
      <c r="J474" s="1048">
        <f t="shared" si="64"/>
        <v>0</v>
      </c>
      <c r="K474" s="1048">
        <f t="shared" si="65"/>
        <v>0</v>
      </c>
      <c r="L474" s="208"/>
      <c r="M474" s="209"/>
      <c r="N474" s="209"/>
      <c r="O474" s="209"/>
      <c r="P474" s="209"/>
      <c r="Q474" s="209"/>
      <c r="R474" s="209"/>
      <c r="S474" s="209"/>
      <c r="T474" s="209"/>
      <c r="U474" s="209"/>
      <c r="V474" s="209"/>
      <c r="W474" s="209"/>
    </row>
    <row r="475" spans="1:23" ht="11.25" customHeight="1" x14ac:dyDescent="0.25">
      <c r="A475" s="1165" t="s">
        <v>2511</v>
      </c>
      <c r="B475" s="1041"/>
      <c r="C475" s="1050">
        <v>0</v>
      </c>
      <c r="D475" s="1052"/>
      <c r="E475" s="1052">
        <v>9817.65</v>
      </c>
      <c r="F475" s="1052">
        <v>0</v>
      </c>
      <c r="G475" s="1048">
        <v>0</v>
      </c>
      <c r="H475" s="1048">
        <f t="shared" si="63"/>
        <v>0</v>
      </c>
      <c r="I475" s="1052">
        <v>0</v>
      </c>
      <c r="J475" s="1048">
        <f t="shared" si="64"/>
        <v>0</v>
      </c>
      <c r="K475" s="1048">
        <f t="shared" si="65"/>
        <v>0</v>
      </c>
      <c r="L475" s="208"/>
      <c r="M475" s="209"/>
      <c r="N475" s="209"/>
      <c r="O475" s="209"/>
      <c r="P475" s="209"/>
      <c r="Q475" s="209"/>
      <c r="R475" s="209"/>
      <c r="S475" s="209"/>
      <c r="T475" s="209"/>
      <c r="U475" s="209"/>
      <c r="V475" s="209"/>
      <c r="W475" s="209"/>
    </row>
    <row r="476" spans="1:23" ht="11.25" customHeight="1" x14ac:dyDescent="0.25">
      <c r="A476" s="1165" t="s">
        <v>2437</v>
      </c>
      <c r="B476" s="1041"/>
      <c r="C476" s="1050">
        <v>0</v>
      </c>
      <c r="D476" s="1052">
        <v>35789.82</v>
      </c>
      <c r="E476" s="1052">
        <v>28462.42</v>
      </c>
      <c r="F476" s="1052">
        <v>0</v>
      </c>
      <c r="G476" s="1048">
        <v>0</v>
      </c>
      <c r="H476" s="1048">
        <f t="shared" si="63"/>
        <v>0</v>
      </c>
      <c r="I476" s="1052">
        <v>0</v>
      </c>
      <c r="J476" s="1048">
        <f t="shared" si="64"/>
        <v>0</v>
      </c>
      <c r="K476" s="1048">
        <f t="shared" si="65"/>
        <v>0</v>
      </c>
      <c r="L476" s="208"/>
      <c r="M476" s="209"/>
      <c r="N476" s="209"/>
      <c r="O476" s="209"/>
      <c r="P476" s="209"/>
      <c r="Q476" s="209"/>
      <c r="R476" s="209"/>
      <c r="S476" s="209"/>
      <c r="T476" s="209"/>
      <c r="U476" s="209"/>
      <c r="V476" s="209"/>
      <c r="W476" s="209"/>
    </row>
    <row r="477" spans="1:23" ht="11.25" customHeight="1" x14ac:dyDescent="0.25">
      <c r="A477" s="1165" t="s">
        <v>2411</v>
      </c>
      <c r="B477" s="1041"/>
      <c r="C477" s="1050">
        <v>0</v>
      </c>
      <c r="D477" s="1052"/>
      <c r="E477" s="1052">
        <v>0</v>
      </c>
      <c r="F477" s="1052">
        <v>0</v>
      </c>
      <c r="G477" s="1048">
        <v>0</v>
      </c>
      <c r="H477" s="1048">
        <f t="shared" si="63"/>
        <v>0</v>
      </c>
      <c r="I477" s="1052">
        <v>0</v>
      </c>
      <c r="J477" s="1048">
        <f t="shared" si="64"/>
        <v>0</v>
      </c>
      <c r="K477" s="1048">
        <f t="shared" si="65"/>
        <v>0</v>
      </c>
      <c r="L477" s="208"/>
      <c r="M477" s="209"/>
      <c r="N477" s="209"/>
      <c r="O477" s="209"/>
      <c r="P477" s="209"/>
      <c r="Q477" s="209"/>
      <c r="R477" s="209"/>
      <c r="S477" s="209"/>
      <c r="T477" s="209"/>
      <c r="U477" s="209"/>
      <c r="V477" s="209"/>
      <c r="W477" s="209"/>
    </row>
    <row r="478" spans="1:23" ht="11.25" customHeight="1" x14ac:dyDescent="0.25">
      <c r="A478" s="1165" t="s">
        <v>2416</v>
      </c>
      <c r="B478" s="1041"/>
      <c r="C478" s="1050">
        <v>0</v>
      </c>
      <c r="D478" s="1052"/>
      <c r="E478" s="1052">
        <v>0</v>
      </c>
      <c r="F478" s="1052">
        <v>0</v>
      </c>
      <c r="G478" s="1048">
        <v>0</v>
      </c>
      <c r="H478" s="1048">
        <f t="shared" si="63"/>
        <v>0</v>
      </c>
      <c r="I478" s="1052">
        <v>0</v>
      </c>
      <c r="J478" s="1048">
        <f t="shared" si="64"/>
        <v>0</v>
      </c>
      <c r="K478" s="1048">
        <f t="shared" si="65"/>
        <v>0</v>
      </c>
      <c r="L478" s="208"/>
      <c r="M478" s="209"/>
      <c r="N478" s="209"/>
      <c r="O478" s="209"/>
      <c r="P478" s="209"/>
      <c r="Q478" s="209"/>
      <c r="R478" s="209"/>
      <c r="S478" s="209"/>
      <c r="T478" s="209"/>
      <c r="U478" s="209"/>
      <c r="V478" s="209"/>
      <c r="W478" s="209"/>
    </row>
    <row r="479" spans="1:23" ht="11.25" customHeight="1" x14ac:dyDescent="0.25">
      <c r="A479" s="1165" t="s">
        <v>2512</v>
      </c>
      <c r="B479" s="1041"/>
      <c r="C479" s="1050">
        <v>0</v>
      </c>
      <c r="D479" s="1052"/>
      <c r="E479" s="1052">
        <v>0</v>
      </c>
      <c r="F479" s="1052">
        <v>0</v>
      </c>
      <c r="G479" s="1048">
        <v>0</v>
      </c>
      <c r="H479" s="1048">
        <f t="shared" si="63"/>
        <v>0</v>
      </c>
      <c r="I479" s="1052">
        <v>0</v>
      </c>
      <c r="J479" s="1048">
        <f t="shared" si="64"/>
        <v>0</v>
      </c>
      <c r="K479" s="1048">
        <f t="shared" si="65"/>
        <v>0</v>
      </c>
      <c r="L479" s="208"/>
      <c r="M479" s="209"/>
      <c r="N479" s="209"/>
      <c r="O479" s="209"/>
      <c r="P479" s="209"/>
      <c r="Q479" s="209"/>
      <c r="R479" s="209"/>
      <c r="S479" s="209"/>
      <c r="T479" s="209"/>
      <c r="U479" s="209"/>
      <c r="V479" s="209"/>
      <c r="W479" s="209"/>
    </row>
    <row r="480" spans="1:23" ht="11.25" customHeight="1" x14ac:dyDescent="0.25">
      <c r="A480" s="1165" t="s">
        <v>2514</v>
      </c>
      <c r="B480" s="1041"/>
      <c r="C480" s="1050">
        <v>0</v>
      </c>
      <c r="D480" s="1052">
        <v>94304</v>
      </c>
      <c r="E480" s="1052">
        <v>0</v>
      </c>
      <c r="F480" s="1052">
        <v>0</v>
      </c>
      <c r="G480" s="1048">
        <v>0</v>
      </c>
      <c r="H480" s="1048">
        <f t="shared" si="63"/>
        <v>0</v>
      </c>
      <c r="I480" s="1052">
        <v>0</v>
      </c>
      <c r="J480" s="1048">
        <f t="shared" si="64"/>
        <v>0</v>
      </c>
      <c r="K480" s="1048">
        <f t="shared" si="65"/>
        <v>0</v>
      </c>
      <c r="L480" s="208"/>
      <c r="M480" s="209"/>
      <c r="N480" s="209"/>
      <c r="O480" s="209"/>
      <c r="P480" s="209"/>
      <c r="Q480" s="209"/>
      <c r="R480" s="209"/>
      <c r="S480" s="209"/>
      <c r="T480" s="209"/>
      <c r="U480" s="209"/>
      <c r="V480" s="209"/>
      <c r="W480" s="209"/>
    </row>
    <row r="481" spans="1:23" ht="11.25" customHeight="1" x14ac:dyDescent="0.25">
      <c r="A481" s="1165" t="s">
        <v>2515</v>
      </c>
      <c r="B481" s="1041"/>
      <c r="C481" s="1050">
        <v>0</v>
      </c>
      <c r="D481" s="1052"/>
      <c r="E481" s="1052">
        <v>0</v>
      </c>
      <c r="F481" s="1052">
        <v>300000</v>
      </c>
      <c r="G481" s="1048">
        <f>F481+-300000</f>
        <v>0</v>
      </c>
      <c r="H481" s="1048">
        <f t="shared" si="63"/>
        <v>0</v>
      </c>
      <c r="I481" s="1052">
        <v>0</v>
      </c>
      <c r="J481" s="1048">
        <f t="shared" si="64"/>
        <v>0</v>
      </c>
      <c r="K481" s="1048">
        <f t="shared" si="65"/>
        <v>0</v>
      </c>
      <c r="L481" s="208"/>
      <c r="M481" s="209"/>
      <c r="N481" s="209"/>
      <c r="O481" s="209"/>
      <c r="P481" s="209"/>
      <c r="Q481" s="209"/>
      <c r="R481" s="209"/>
      <c r="S481" s="209"/>
      <c r="T481" s="209"/>
      <c r="U481" s="209"/>
      <c r="V481" s="209"/>
      <c r="W481" s="209"/>
    </row>
    <row r="482" spans="1:23" ht="11.25" customHeight="1" x14ac:dyDescent="0.25">
      <c r="A482" s="1165" t="s">
        <v>2516</v>
      </c>
      <c r="B482" s="1041"/>
      <c r="C482" s="1050">
        <v>0</v>
      </c>
      <c r="D482" s="1052">
        <v>105315290.59999999</v>
      </c>
      <c r="E482" s="1052">
        <v>110836818.88</v>
      </c>
      <c r="F482" s="1052">
        <v>100000000</v>
      </c>
      <c r="G482" s="1048">
        <f>F482+-37945794.55</f>
        <v>62054205.450000003</v>
      </c>
      <c r="H482" s="1048">
        <f t="shared" si="63"/>
        <v>62054205.450000003</v>
      </c>
      <c r="I482" s="1048">
        <v>149641061</v>
      </c>
      <c r="J482" s="1048">
        <v>158469883.59899998</v>
      </c>
      <c r="K482" s="1048">
        <v>167344197.08054399</v>
      </c>
      <c r="L482" s="208"/>
      <c r="M482" s="209"/>
      <c r="N482" s="209"/>
      <c r="O482" s="209"/>
      <c r="P482" s="209"/>
      <c r="Q482" s="209"/>
      <c r="R482" s="209"/>
      <c r="S482" s="209"/>
      <c r="T482" s="209"/>
      <c r="U482" s="209"/>
      <c r="V482" s="209"/>
      <c r="W482" s="209"/>
    </row>
    <row r="483" spans="1:23" ht="11.25" customHeight="1" x14ac:dyDescent="0.25">
      <c r="A483" s="1165" t="s">
        <v>2517</v>
      </c>
      <c r="B483" s="1041"/>
      <c r="C483" s="1050">
        <v>0</v>
      </c>
      <c r="D483" s="1052"/>
      <c r="E483" s="1052">
        <v>0</v>
      </c>
      <c r="F483" s="1052">
        <v>0</v>
      </c>
      <c r="G483" s="1048">
        <v>0</v>
      </c>
      <c r="H483" s="1048">
        <f t="shared" si="63"/>
        <v>0</v>
      </c>
      <c r="I483" s="1052">
        <v>0</v>
      </c>
      <c r="J483" s="1048">
        <f t="shared" si="64"/>
        <v>0</v>
      </c>
      <c r="K483" s="1048">
        <f t="shared" si="65"/>
        <v>0</v>
      </c>
      <c r="L483" s="208"/>
      <c r="M483" s="209"/>
      <c r="N483" s="209"/>
      <c r="O483" s="209"/>
      <c r="P483" s="209"/>
      <c r="Q483" s="209"/>
      <c r="R483" s="209"/>
      <c r="S483" s="209"/>
      <c r="T483" s="209"/>
      <c r="U483" s="209"/>
      <c r="V483" s="209"/>
      <c r="W483" s="209"/>
    </row>
    <row r="484" spans="1:23" ht="11.25" customHeight="1" x14ac:dyDescent="0.25">
      <c r="A484" s="1165" t="s">
        <v>2518</v>
      </c>
      <c r="B484" s="1041"/>
      <c r="C484" s="1050">
        <v>0</v>
      </c>
      <c r="D484" s="1052">
        <v>11503712.76</v>
      </c>
      <c r="E484" s="1052">
        <v>14936754.85</v>
      </c>
      <c r="F484" s="1052">
        <v>1400000</v>
      </c>
      <c r="G484" s="1048">
        <f>F484+-886550</f>
        <v>513450</v>
      </c>
      <c r="H484" s="1048">
        <f t="shared" si="63"/>
        <v>513450</v>
      </c>
      <c r="I484" s="1048">
        <v>500000</v>
      </c>
      <c r="J484" s="1048">
        <f t="shared" si="64"/>
        <v>529500</v>
      </c>
      <c r="K484" s="1048">
        <f t="shared" si="65"/>
        <v>559152</v>
      </c>
      <c r="L484" s="208"/>
      <c r="M484" s="209"/>
      <c r="N484" s="209"/>
      <c r="O484" s="209"/>
      <c r="P484" s="209"/>
      <c r="Q484" s="209"/>
      <c r="R484" s="209"/>
      <c r="S484" s="209"/>
      <c r="T484" s="209"/>
      <c r="U484" s="209"/>
      <c r="V484" s="209"/>
      <c r="W484" s="209"/>
    </row>
    <row r="485" spans="1:23" ht="11.25" customHeight="1" x14ac:dyDescent="0.25">
      <c r="A485" s="1165" t="s">
        <v>2519</v>
      </c>
      <c r="B485" s="1041"/>
      <c r="C485" s="1050">
        <v>0</v>
      </c>
      <c r="D485" s="1052"/>
      <c r="E485" s="1052">
        <v>0</v>
      </c>
      <c r="F485" s="1052">
        <v>0</v>
      </c>
      <c r="G485" s="1048">
        <v>0</v>
      </c>
      <c r="H485" s="1048">
        <f t="shared" si="63"/>
        <v>0</v>
      </c>
      <c r="I485" s="1052">
        <v>0</v>
      </c>
      <c r="J485" s="1048">
        <f t="shared" si="64"/>
        <v>0</v>
      </c>
      <c r="K485" s="1048">
        <f t="shared" si="65"/>
        <v>0</v>
      </c>
      <c r="L485" s="208"/>
      <c r="M485" s="209"/>
      <c r="N485" s="209"/>
      <c r="O485" s="209"/>
      <c r="P485" s="209"/>
      <c r="Q485" s="209"/>
      <c r="R485" s="209"/>
      <c r="S485" s="209"/>
      <c r="T485" s="209"/>
      <c r="U485" s="209"/>
      <c r="V485" s="209"/>
      <c r="W485" s="209"/>
    </row>
    <row r="486" spans="1:23" ht="11.25" customHeight="1" x14ac:dyDescent="0.25">
      <c r="A486" s="1165" t="s">
        <v>2520</v>
      </c>
      <c r="B486" s="1041"/>
      <c r="C486" s="1050">
        <v>0</v>
      </c>
      <c r="D486" s="1052"/>
      <c r="E486" s="1052">
        <v>1359484.32</v>
      </c>
      <c r="F486" s="1052">
        <v>2500000</v>
      </c>
      <c r="G486" s="1048">
        <f>F486+-1362150</f>
        <v>1137850</v>
      </c>
      <c r="H486" s="1048">
        <f t="shared" si="63"/>
        <v>1137850</v>
      </c>
      <c r="I486" s="1048">
        <v>150000</v>
      </c>
      <c r="J486" s="1048">
        <v>158850</v>
      </c>
      <c r="K486" s="1048">
        <v>167745.60000000001</v>
      </c>
      <c r="L486" s="208"/>
      <c r="M486" s="209"/>
      <c r="N486" s="209"/>
      <c r="O486" s="209"/>
      <c r="P486" s="209"/>
      <c r="Q486" s="209"/>
      <c r="R486" s="209"/>
      <c r="S486" s="209"/>
      <c r="T486" s="209"/>
      <c r="U486" s="209"/>
      <c r="V486" s="209"/>
      <c r="W486" s="209"/>
    </row>
    <row r="487" spans="1:23" ht="11.25" customHeight="1" x14ac:dyDescent="0.25">
      <c r="A487" s="1165" t="s">
        <v>2521</v>
      </c>
      <c r="B487" s="1041"/>
      <c r="C487" s="1050">
        <v>0</v>
      </c>
      <c r="D487" s="1052"/>
      <c r="E487" s="1052">
        <v>0</v>
      </c>
      <c r="F487" s="1052">
        <v>0</v>
      </c>
      <c r="G487" s="1048">
        <v>0</v>
      </c>
      <c r="H487" s="1048">
        <f t="shared" si="63"/>
        <v>0</v>
      </c>
      <c r="I487" s="1052">
        <v>0</v>
      </c>
      <c r="J487" s="1048">
        <f t="shared" si="64"/>
        <v>0</v>
      </c>
      <c r="K487" s="1048">
        <f t="shared" si="65"/>
        <v>0</v>
      </c>
      <c r="L487" s="208"/>
      <c r="M487" s="209"/>
      <c r="N487" s="209"/>
      <c r="O487" s="209"/>
      <c r="P487" s="209"/>
      <c r="Q487" s="209"/>
      <c r="R487" s="209"/>
      <c r="S487" s="209"/>
      <c r="T487" s="209"/>
      <c r="U487" s="209"/>
      <c r="V487" s="209"/>
      <c r="W487" s="209"/>
    </row>
    <row r="488" spans="1:23" ht="11.25" customHeight="1" x14ac:dyDescent="0.25">
      <c r="A488" s="1165" t="s">
        <v>2522</v>
      </c>
      <c r="B488" s="1041"/>
      <c r="C488" s="1050">
        <v>0</v>
      </c>
      <c r="D488" s="1052">
        <v>1817388.84</v>
      </c>
      <c r="E488" s="1052">
        <v>1772389.16</v>
      </c>
      <c r="F488" s="1052">
        <v>250000</v>
      </c>
      <c r="G488" s="1048">
        <f>F488+-100169.6</f>
        <v>149830.39999999999</v>
      </c>
      <c r="H488" s="1048">
        <f t="shared" si="63"/>
        <v>149830.39999999999</v>
      </c>
      <c r="I488" s="1052">
        <v>0</v>
      </c>
      <c r="J488" s="1048">
        <f t="shared" si="64"/>
        <v>0</v>
      </c>
      <c r="K488" s="1048">
        <f t="shared" si="65"/>
        <v>0</v>
      </c>
      <c r="L488" s="208"/>
      <c r="M488" s="209"/>
      <c r="N488" s="209"/>
      <c r="O488" s="209"/>
      <c r="P488" s="209"/>
      <c r="Q488" s="209"/>
      <c r="R488" s="209"/>
      <c r="S488" s="209"/>
      <c r="T488" s="209"/>
      <c r="U488" s="209"/>
      <c r="V488" s="209"/>
      <c r="W488" s="209"/>
    </row>
    <row r="489" spans="1:23" ht="11.25" customHeight="1" x14ac:dyDescent="0.25">
      <c r="A489" s="1165" t="s">
        <v>2523</v>
      </c>
      <c r="B489" s="1041"/>
      <c r="C489" s="1050">
        <v>0</v>
      </c>
      <c r="D489" s="1052"/>
      <c r="E489" s="1052">
        <v>0</v>
      </c>
      <c r="F489" s="1052">
        <v>0</v>
      </c>
      <c r="G489" s="1048">
        <v>0</v>
      </c>
      <c r="H489" s="1048">
        <f t="shared" si="63"/>
        <v>0</v>
      </c>
      <c r="I489" s="1052">
        <v>0</v>
      </c>
      <c r="J489" s="1048">
        <f t="shared" si="64"/>
        <v>0</v>
      </c>
      <c r="K489" s="1048">
        <f t="shared" si="65"/>
        <v>0</v>
      </c>
      <c r="L489" s="208"/>
      <c r="M489" s="209"/>
      <c r="N489" s="209"/>
      <c r="O489" s="209"/>
      <c r="P489" s="209"/>
      <c r="Q489" s="209"/>
      <c r="R489" s="209"/>
      <c r="S489" s="209"/>
      <c r="T489" s="209"/>
      <c r="U489" s="209"/>
      <c r="V489" s="209"/>
      <c r="W489" s="209"/>
    </row>
    <row r="490" spans="1:23" ht="11.25" customHeight="1" x14ac:dyDescent="0.25">
      <c r="A490" s="1165" t="s">
        <v>2524</v>
      </c>
      <c r="B490" s="1041"/>
      <c r="C490" s="1050">
        <v>0</v>
      </c>
      <c r="D490" s="1052">
        <v>26528000</v>
      </c>
      <c r="E490" s="1052">
        <v>5000000</v>
      </c>
      <c r="F490" s="1052">
        <v>10300000</v>
      </c>
      <c r="G490" s="1048">
        <f>F490</f>
        <v>10300000</v>
      </c>
      <c r="H490" s="1048">
        <f t="shared" si="63"/>
        <v>10300000</v>
      </c>
      <c r="I490" s="1048">
        <v>15000000</v>
      </c>
      <c r="J490" s="1048">
        <f t="shared" si="64"/>
        <v>15885000</v>
      </c>
      <c r="K490" s="1048">
        <f t="shared" si="65"/>
        <v>16774560</v>
      </c>
      <c r="L490" s="208"/>
      <c r="M490" s="209"/>
      <c r="N490" s="209"/>
      <c r="O490" s="209"/>
      <c r="P490" s="209"/>
      <c r="Q490" s="209"/>
      <c r="R490" s="209"/>
      <c r="S490" s="209"/>
      <c r="T490" s="209"/>
      <c r="U490" s="209"/>
      <c r="V490" s="209"/>
      <c r="W490" s="209"/>
    </row>
    <row r="491" spans="1:23" ht="11.25" customHeight="1" x14ac:dyDescent="0.25">
      <c r="A491" s="1165" t="s">
        <v>2525</v>
      </c>
      <c r="B491" s="1041"/>
      <c r="C491" s="1050">
        <v>0</v>
      </c>
      <c r="D491" s="1049">
        <v>0</v>
      </c>
      <c r="E491" s="1050">
        <v>0</v>
      </c>
      <c r="F491" s="1052">
        <v>0</v>
      </c>
      <c r="G491" s="1048">
        <v>0</v>
      </c>
      <c r="H491" s="1048">
        <f t="shared" si="63"/>
        <v>0</v>
      </c>
      <c r="I491" s="1052">
        <v>0</v>
      </c>
      <c r="J491" s="1048">
        <f t="shared" si="64"/>
        <v>0</v>
      </c>
      <c r="K491" s="1048">
        <f t="shared" si="65"/>
        <v>0</v>
      </c>
      <c r="L491" s="208"/>
      <c r="M491" s="209"/>
      <c r="N491" s="209"/>
      <c r="O491" s="209"/>
      <c r="P491" s="209"/>
      <c r="Q491" s="209"/>
      <c r="R491" s="209"/>
      <c r="S491" s="209"/>
      <c r="T491" s="209"/>
      <c r="U491" s="209"/>
      <c r="V491" s="209"/>
      <c r="W491" s="209"/>
    </row>
    <row r="492" spans="1:23" ht="11.25" customHeight="1" x14ac:dyDescent="0.25">
      <c r="A492" s="1165" t="s">
        <v>2498</v>
      </c>
      <c r="B492" s="1041"/>
      <c r="C492" s="1048">
        <v>0</v>
      </c>
      <c r="D492" s="1049">
        <v>0</v>
      </c>
      <c r="E492" s="1050">
        <v>0</v>
      </c>
      <c r="F492" s="1052">
        <v>50000</v>
      </c>
      <c r="G492" s="1048">
        <f>F492+-50000</f>
        <v>0</v>
      </c>
      <c r="H492" s="1048">
        <f t="shared" si="63"/>
        <v>0</v>
      </c>
      <c r="I492" s="1052">
        <v>0</v>
      </c>
      <c r="J492" s="1048">
        <f t="shared" si="64"/>
        <v>0</v>
      </c>
      <c r="K492" s="1048">
        <f t="shared" si="65"/>
        <v>0</v>
      </c>
      <c r="L492" s="208"/>
      <c r="M492" s="209"/>
      <c r="N492" s="209"/>
      <c r="O492" s="209"/>
      <c r="P492" s="209"/>
      <c r="Q492" s="209"/>
      <c r="R492" s="209"/>
      <c r="S492" s="209"/>
      <c r="T492" s="209"/>
      <c r="U492" s="209"/>
      <c r="V492" s="209"/>
      <c r="W492" s="209"/>
    </row>
    <row r="493" spans="1:23" ht="11.25" customHeight="1" x14ac:dyDescent="0.25">
      <c r="A493" s="1165" t="s">
        <v>2617</v>
      </c>
      <c r="B493" s="1041"/>
      <c r="C493" s="1048">
        <v>0</v>
      </c>
      <c r="D493" s="1048">
        <v>0</v>
      </c>
      <c r="E493" s="1049">
        <v>2632823</v>
      </c>
      <c r="F493" s="1050"/>
      <c r="G493" s="1048"/>
      <c r="H493" s="1051"/>
      <c r="I493" s="1052"/>
      <c r="J493" s="1048">
        <f t="shared" si="64"/>
        <v>0</v>
      </c>
      <c r="K493" s="1048">
        <f t="shared" si="65"/>
        <v>0</v>
      </c>
      <c r="L493" s="208"/>
      <c r="M493" s="209"/>
      <c r="N493" s="209"/>
      <c r="O493" s="209"/>
      <c r="P493" s="209"/>
      <c r="Q493" s="209"/>
      <c r="R493" s="209"/>
      <c r="S493" s="209"/>
      <c r="T493" s="209"/>
      <c r="U493" s="209"/>
      <c r="V493" s="209"/>
      <c r="W493" s="209"/>
    </row>
    <row r="494" spans="1:23" ht="11.25" customHeight="1" x14ac:dyDescent="0.25">
      <c r="A494" s="1165" t="s">
        <v>2618</v>
      </c>
      <c r="B494" s="1041"/>
      <c r="C494" s="1048">
        <v>0</v>
      </c>
      <c r="D494" s="1048">
        <v>0</v>
      </c>
      <c r="E494" s="1049">
        <v>0</v>
      </c>
      <c r="F494" s="1050">
        <v>0</v>
      </c>
      <c r="G494" s="1048">
        <v>0</v>
      </c>
      <c r="H494" s="1051">
        <v>0</v>
      </c>
      <c r="I494" s="1048">
        <v>50000</v>
      </c>
      <c r="J494" s="1048">
        <f t="shared" si="64"/>
        <v>52950</v>
      </c>
      <c r="K494" s="1048">
        <f t="shared" si="65"/>
        <v>55915.200000000004</v>
      </c>
      <c r="L494" s="208"/>
      <c r="M494" s="209"/>
      <c r="N494" s="209"/>
      <c r="O494" s="209"/>
      <c r="P494" s="209"/>
      <c r="Q494" s="209"/>
      <c r="R494" s="209"/>
      <c r="S494" s="209"/>
      <c r="T494" s="209"/>
      <c r="U494" s="209"/>
      <c r="V494" s="209"/>
      <c r="W494" s="209"/>
    </row>
    <row r="495" spans="1:23" ht="11.25" customHeight="1" x14ac:dyDescent="0.25">
      <c r="A495" s="1165">
        <f>A98</f>
        <v>0</v>
      </c>
      <c r="B495" s="1041"/>
      <c r="C495" s="1048"/>
      <c r="D495" s="1048"/>
      <c r="E495" s="1049"/>
      <c r="F495" s="1050"/>
      <c r="G495" s="1048"/>
      <c r="H495" s="1051"/>
      <c r="I495" s="1052"/>
      <c r="J495" s="1048"/>
      <c r="K495" s="2677"/>
      <c r="L495" s="208"/>
      <c r="M495" s="209"/>
      <c r="N495" s="209"/>
      <c r="O495" s="209"/>
      <c r="P495" s="209"/>
      <c r="Q495" s="209"/>
      <c r="R495" s="209"/>
      <c r="S495" s="209"/>
      <c r="T495" s="209"/>
      <c r="U495" s="209"/>
      <c r="V495" s="209"/>
      <c r="W495" s="209"/>
    </row>
    <row r="496" spans="1:23" ht="11.25" customHeight="1" x14ac:dyDescent="0.25">
      <c r="A496" s="1165">
        <f>A99</f>
        <v>0</v>
      </c>
      <c r="B496" s="1041"/>
      <c r="C496" s="1048"/>
      <c r="D496" s="1048"/>
      <c r="E496" s="1049"/>
      <c r="F496" s="1050"/>
      <c r="G496" s="1048"/>
      <c r="H496" s="1051"/>
      <c r="I496" s="1052"/>
      <c r="J496" s="1048"/>
      <c r="K496" s="2677"/>
      <c r="L496" s="208"/>
      <c r="M496" s="209"/>
      <c r="N496" s="209"/>
      <c r="O496" s="209"/>
      <c r="P496" s="209"/>
      <c r="Q496" s="209"/>
      <c r="R496" s="209"/>
      <c r="S496" s="209"/>
      <c r="T496" s="209"/>
      <c r="U496" s="209"/>
      <c r="V496" s="209"/>
      <c r="W496" s="209"/>
    </row>
    <row r="497" spans="1:23" ht="15" customHeight="1" x14ac:dyDescent="0.25">
      <c r="A497" s="1164" t="str">
        <f>A100</f>
        <v>Vote 10 - 550 ROADS &amp; STORMWATER</v>
      </c>
      <c r="B497" s="1041"/>
      <c r="C497" s="971">
        <f t="shared" ref="C497:K497" si="66">SUM(C498:C526)</f>
        <v>0</v>
      </c>
      <c r="D497" s="971">
        <f t="shared" si="66"/>
        <v>10271819.15</v>
      </c>
      <c r="E497" s="972">
        <f t="shared" si="66"/>
        <v>5683924.1600000001</v>
      </c>
      <c r="F497" s="973">
        <f t="shared" si="66"/>
        <v>6084254</v>
      </c>
      <c r="G497" s="971">
        <f t="shared" si="66"/>
        <v>4500171.26</v>
      </c>
      <c r="H497" s="974">
        <f t="shared" si="66"/>
        <v>4500171.26</v>
      </c>
      <c r="I497" s="975">
        <f t="shared" si="66"/>
        <v>12396124.210000001</v>
      </c>
      <c r="J497" s="971">
        <f t="shared" si="66"/>
        <v>13127495.538390001</v>
      </c>
      <c r="K497" s="971">
        <f t="shared" si="66"/>
        <v>13862635.28853984</v>
      </c>
      <c r="L497" s="208"/>
      <c r="M497" s="209"/>
      <c r="N497" s="209"/>
      <c r="O497" s="209"/>
      <c r="P497" s="209"/>
      <c r="Q497" s="209"/>
      <c r="R497" s="209"/>
      <c r="S497" s="209"/>
      <c r="T497" s="209"/>
      <c r="U497" s="209"/>
      <c r="V497" s="209"/>
      <c r="W497" s="209"/>
    </row>
    <row r="498" spans="1:23" ht="11.25" customHeight="1" x14ac:dyDescent="0.25">
      <c r="A498" s="1165" t="s">
        <v>2375</v>
      </c>
      <c r="B498" s="1041"/>
      <c r="C498" s="1050">
        <v>0</v>
      </c>
      <c r="D498" s="1052">
        <v>1887292.39</v>
      </c>
      <c r="E498" s="1052">
        <v>2897557.64</v>
      </c>
      <c r="F498" s="1052">
        <v>3182068</v>
      </c>
      <c r="G498" s="1048">
        <f>F498</f>
        <v>3182068</v>
      </c>
      <c r="H498" s="1048">
        <f>G498</f>
        <v>3182068</v>
      </c>
      <c r="I498" s="1052">
        <v>8085609</v>
      </c>
      <c r="J498" s="1048">
        <v>8562659.9309999999</v>
      </c>
      <c r="K498" s="1048">
        <v>9042168.8871360011</v>
      </c>
      <c r="L498" s="208"/>
      <c r="M498" s="209"/>
      <c r="N498" s="209"/>
      <c r="O498" s="209"/>
      <c r="P498" s="209"/>
      <c r="Q498" s="209"/>
      <c r="R498" s="209"/>
      <c r="S498" s="209"/>
      <c r="T498" s="209"/>
      <c r="U498" s="209"/>
      <c r="V498" s="209"/>
      <c r="W498" s="209"/>
    </row>
    <row r="499" spans="1:23" ht="11.25" customHeight="1" x14ac:dyDescent="0.25">
      <c r="A499" s="1165" t="s">
        <v>2432</v>
      </c>
      <c r="B499" s="1041"/>
      <c r="C499" s="1050">
        <v>0</v>
      </c>
      <c r="D499" s="1052">
        <v>126062.72</v>
      </c>
      <c r="E499" s="1052">
        <v>212553.14</v>
      </c>
      <c r="F499" s="1052">
        <v>265173</v>
      </c>
      <c r="G499" s="1048">
        <f>F499+76053.26</f>
        <v>341226.26</v>
      </c>
      <c r="H499" s="1048">
        <f t="shared" ref="H499:H523" si="67">G499</f>
        <v>341226.26</v>
      </c>
      <c r="I499" s="1052">
        <v>676840.21</v>
      </c>
      <c r="J499" s="1048">
        <v>716773.78238999995</v>
      </c>
      <c r="K499" s="1048">
        <v>756913.11420384003</v>
      </c>
      <c r="L499" s="208"/>
      <c r="M499" s="209"/>
      <c r="N499" s="209"/>
      <c r="O499" s="209"/>
      <c r="P499" s="209"/>
      <c r="Q499" s="209"/>
      <c r="R499" s="209"/>
      <c r="S499" s="209"/>
      <c r="T499" s="209"/>
      <c r="U499" s="209"/>
      <c r="V499" s="209"/>
      <c r="W499" s="209"/>
    </row>
    <row r="500" spans="1:23" ht="11.25" customHeight="1" x14ac:dyDescent="0.25">
      <c r="A500" s="1165" t="s">
        <v>2457</v>
      </c>
      <c r="B500" s="1041"/>
      <c r="C500" s="1050">
        <v>0</v>
      </c>
      <c r="D500" s="1052">
        <v>1166.2</v>
      </c>
      <c r="E500" s="1052">
        <v>1771.65</v>
      </c>
      <c r="F500" s="1052">
        <v>710</v>
      </c>
      <c r="G500" s="1048">
        <f>F500+2267</f>
        <v>2977</v>
      </c>
      <c r="H500" s="1048">
        <f t="shared" si="67"/>
        <v>2977</v>
      </c>
      <c r="I500" s="1052">
        <v>4872</v>
      </c>
      <c r="J500" s="1048">
        <v>5159.4479999999994</v>
      </c>
      <c r="K500" s="1048">
        <v>5448.3770879999993</v>
      </c>
      <c r="L500" s="208"/>
      <c r="M500" s="209"/>
      <c r="N500" s="209"/>
      <c r="O500" s="209"/>
      <c r="P500" s="209"/>
      <c r="Q500" s="209"/>
      <c r="R500" s="209"/>
      <c r="S500" s="209"/>
      <c r="T500" s="209"/>
      <c r="U500" s="209"/>
      <c r="V500" s="209"/>
      <c r="W500" s="209"/>
    </row>
    <row r="501" spans="1:23" ht="11.25" customHeight="1" x14ac:dyDescent="0.25">
      <c r="A501" s="1165" t="s">
        <v>2434</v>
      </c>
      <c r="B501" s="1041"/>
      <c r="C501" s="1050">
        <v>0</v>
      </c>
      <c r="D501" s="1052">
        <v>13943</v>
      </c>
      <c r="E501" s="1052"/>
      <c r="F501" s="1052">
        <v>0</v>
      </c>
      <c r="G501" s="1048">
        <v>0</v>
      </c>
      <c r="H501" s="1048">
        <f t="shared" si="67"/>
        <v>0</v>
      </c>
      <c r="I501" s="1052">
        <v>0</v>
      </c>
      <c r="J501" s="1048">
        <f t="shared" ref="J501:J523" si="68">I501*1.059</f>
        <v>0</v>
      </c>
      <c r="K501" s="1048">
        <f t="shared" ref="K501:K523" si="69">J501*1.056</f>
        <v>0</v>
      </c>
      <c r="L501" s="208"/>
      <c r="M501" s="209"/>
      <c r="N501" s="209"/>
      <c r="O501" s="209"/>
      <c r="P501" s="209"/>
      <c r="Q501" s="209"/>
      <c r="R501" s="209"/>
      <c r="S501" s="209"/>
      <c r="T501" s="209"/>
      <c r="U501" s="209"/>
      <c r="V501" s="209"/>
      <c r="W501" s="209"/>
    </row>
    <row r="502" spans="1:23" ht="11.25" customHeight="1" x14ac:dyDescent="0.25">
      <c r="A502" s="1165" t="s">
        <v>2435</v>
      </c>
      <c r="B502" s="1041"/>
      <c r="C502" s="1050">
        <v>0</v>
      </c>
      <c r="D502" s="1052">
        <v>79754.42</v>
      </c>
      <c r="E502" s="1052">
        <v>153492.26999999999</v>
      </c>
      <c r="F502" s="1052">
        <v>0</v>
      </c>
      <c r="G502" s="1048">
        <v>0</v>
      </c>
      <c r="H502" s="1048">
        <f t="shared" si="67"/>
        <v>0</v>
      </c>
      <c r="I502" s="1052">
        <v>0</v>
      </c>
      <c r="J502" s="1048">
        <f t="shared" si="68"/>
        <v>0</v>
      </c>
      <c r="K502" s="1048">
        <f t="shared" si="69"/>
        <v>0</v>
      </c>
      <c r="L502" s="208"/>
      <c r="M502" s="209"/>
      <c r="N502" s="209"/>
      <c r="O502" s="209"/>
      <c r="P502" s="209"/>
      <c r="Q502" s="209"/>
      <c r="R502" s="209"/>
      <c r="S502" s="209"/>
      <c r="T502" s="209"/>
      <c r="U502" s="209"/>
      <c r="V502" s="209"/>
      <c r="W502" s="209"/>
    </row>
    <row r="503" spans="1:23" ht="11.25" customHeight="1" x14ac:dyDescent="0.25">
      <c r="A503" s="1165" t="s">
        <v>2376</v>
      </c>
      <c r="B503" s="1041"/>
      <c r="C503" s="1050">
        <v>0</v>
      </c>
      <c r="D503" s="1052">
        <v>385484.82</v>
      </c>
      <c r="E503" s="1052">
        <v>597396.99</v>
      </c>
      <c r="F503" s="1052">
        <v>625181</v>
      </c>
      <c r="G503" s="1048">
        <f>F503+38819</f>
        <v>664000</v>
      </c>
      <c r="H503" s="1048">
        <f t="shared" si="67"/>
        <v>664000</v>
      </c>
      <c r="I503" s="1052">
        <v>1652583</v>
      </c>
      <c r="J503" s="1048">
        <v>1750085.3969999999</v>
      </c>
      <c r="K503" s="1048">
        <v>1848090.1792319999</v>
      </c>
      <c r="L503" s="208"/>
      <c r="M503" s="209"/>
      <c r="N503" s="209"/>
      <c r="O503" s="209"/>
      <c r="P503" s="209"/>
      <c r="Q503" s="209"/>
      <c r="R503" s="209"/>
      <c r="S503" s="209"/>
      <c r="T503" s="209"/>
      <c r="U503" s="209"/>
      <c r="V503" s="209"/>
      <c r="W503" s="209"/>
    </row>
    <row r="504" spans="1:23" ht="11.25" customHeight="1" x14ac:dyDescent="0.25">
      <c r="A504" s="1165" t="s">
        <v>2377</v>
      </c>
      <c r="B504" s="1041"/>
      <c r="C504" s="1050">
        <v>0</v>
      </c>
      <c r="D504" s="1052">
        <v>96160.960000000006</v>
      </c>
      <c r="E504" s="1052">
        <v>173335.4</v>
      </c>
      <c r="F504" s="1052">
        <v>146876</v>
      </c>
      <c r="G504" s="1048">
        <f>F504+83124</f>
        <v>230000</v>
      </c>
      <c r="H504" s="1048">
        <f t="shared" si="67"/>
        <v>230000</v>
      </c>
      <c r="I504" s="1052">
        <v>585531</v>
      </c>
      <c r="J504" s="1048">
        <v>620077.32899999991</v>
      </c>
      <c r="K504" s="1048">
        <v>654801.65942399995</v>
      </c>
      <c r="L504" s="208"/>
      <c r="M504" s="209"/>
      <c r="N504" s="209"/>
      <c r="O504" s="209"/>
      <c r="P504" s="209"/>
      <c r="Q504" s="209"/>
      <c r="R504" s="209"/>
      <c r="S504" s="209"/>
      <c r="T504" s="209"/>
      <c r="U504" s="209"/>
      <c r="V504" s="209"/>
      <c r="W504" s="209"/>
    </row>
    <row r="505" spans="1:23" ht="11.25" customHeight="1" x14ac:dyDescent="0.25">
      <c r="A505" s="1165" t="s">
        <v>2378</v>
      </c>
      <c r="B505" s="1041"/>
      <c r="C505" s="1050">
        <v>0</v>
      </c>
      <c r="D505" s="1052"/>
      <c r="E505" s="1052">
        <v>0</v>
      </c>
      <c r="F505" s="1052">
        <v>0</v>
      </c>
      <c r="G505" s="1048">
        <v>0</v>
      </c>
      <c r="H505" s="1048">
        <f t="shared" si="67"/>
        <v>0</v>
      </c>
      <c r="I505" s="1052">
        <v>0</v>
      </c>
      <c r="J505" s="1048">
        <f t="shared" si="68"/>
        <v>0</v>
      </c>
      <c r="K505" s="1048">
        <f t="shared" si="69"/>
        <v>0</v>
      </c>
      <c r="L505" s="208"/>
      <c r="M505" s="209"/>
      <c r="N505" s="209"/>
      <c r="O505" s="209"/>
      <c r="P505" s="209"/>
      <c r="Q505" s="209"/>
      <c r="R505" s="209"/>
      <c r="S505" s="209"/>
      <c r="T505" s="209"/>
      <c r="U505" s="209"/>
      <c r="V505" s="209"/>
      <c r="W505" s="209"/>
    </row>
    <row r="506" spans="1:23" ht="11.25" customHeight="1" x14ac:dyDescent="0.25">
      <c r="A506" s="1165" t="s">
        <v>2379</v>
      </c>
      <c r="B506" s="1041"/>
      <c r="C506" s="1050">
        <v>0</v>
      </c>
      <c r="D506" s="1052">
        <v>4246.9799999999996</v>
      </c>
      <c r="E506" s="1052">
        <v>0</v>
      </c>
      <c r="F506" s="1052">
        <v>0</v>
      </c>
      <c r="G506" s="1048">
        <v>0</v>
      </c>
      <c r="H506" s="1048">
        <f t="shared" si="67"/>
        <v>0</v>
      </c>
      <c r="I506" s="1052">
        <v>0</v>
      </c>
      <c r="J506" s="1048">
        <f t="shared" si="68"/>
        <v>0</v>
      </c>
      <c r="K506" s="1048">
        <f t="shared" si="69"/>
        <v>0</v>
      </c>
      <c r="L506" s="208"/>
      <c r="M506" s="209"/>
      <c r="N506" s="209"/>
      <c r="O506" s="209"/>
      <c r="P506" s="209"/>
      <c r="Q506" s="209"/>
      <c r="R506" s="209"/>
      <c r="S506" s="209"/>
      <c r="T506" s="209"/>
      <c r="U506" s="209"/>
      <c r="V506" s="209"/>
      <c r="W506" s="209"/>
    </row>
    <row r="507" spans="1:23" ht="11.25" customHeight="1" x14ac:dyDescent="0.25">
      <c r="A507" s="1165" t="s">
        <v>2526</v>
      </c>
      <c r="B507" s="1041"/>
      <c r="C507" s="1050">
        <v>0</v>
      </c>
      <c r="D507" s="1052"/>
      <c r="E507" s="1052">
        <v>0</v>
      </c>
      <c r="F507" s="1052">
        <v>0</v>
      </c>
      <c r="G507" s="1048">
        <v>0</v>
      </c>
      <c r="H507" s="1048">
        <f t="shared" si="67"/>
        <v>0</v>
      </c>
      <c r="I507" s="1052">
        <v>0</v>
      </c>
      <c r="J507" s="1048">
        <f t="shared" si="68"/>
        <v>0</v>
      </c>
      <c r="K507" s="1048">
        <f t="shared" si="69"/>
        <v>0</v>
      </c>
      <c r="L507" s="208"/>
      <c r="M507" s="209"/>
      <c r="N507" s="209"/>
      <c r="O507" s="209"/>
      <c r="P507" s="209"/>
      <c r="Q507" s="209"/>
      <c r="R507" s="209"/>
      <c r="S507" s="209"/>
      <c r="T507" s="209"/>
      <c r="U507" s="209"/>
      <c r="V507" s="209"/>
      <c r="W507" s="209"/>
    </row>
    <row r="508" spans="1:23" ht="11.25" customHeight="1" x14ac:dyDescent="0.25">
      <c r="A508" s="1165" t="s">
        <v>2380</v>
      </c>
      <c r="B508" s="1041"/>
      <c r="C508" s="1050">
        <v>0</v>
      </c>
      <c r="D508" s="1052">
        <v>13510.45</v>
      </c>
      <c r="E508" s="1052">
        <v>32108.47</v>
      </c>
      <c r="F508" s="1052">
        <v>21360</v>
      </c>
      <c r="G508" s="1048">
        <f>F508+12640</f>
        <v>34000</v>
      </c>
      <c r="H508" s="1048">
        <f t="shared" si="67"/>
        <v>34000</v>
      </c>
      <c r="I508" s="1052">
        <v>81633</v>
      </c>
      <c r="J508" s="1048">
        <v>86449.346999999994</v>
      </c>
      <c r="K508" s="1048">
        <v>91290.510431999995</v>
      </c>
      <c r="L508" s="208"/>
      <c r="M508" s="209"/>
      <c r="N508" s="209"/>
      <c r="O508" s="209"/>
      <c r="P508" s="209"/>
      <c r="Q508" s="209"/>
      <c r="R508" s="209"/>
      <c r="S508" s="209"/>
      <c r="T508" s="209"/>
      <c r="U508" s="209"/>
      <c r="V508" s="209"/>
      <c r="W508" s="209"/>
    </row>
    <row r="509" spans="1:23" ht="11.25" customHeight="1" x14ac:dyDescent="0.25">
      <c r="A509" s="1165" t="s">
        <v>2446</v>
      </c>
      <c r="B509" s="1041"/>
      <c r="C509" s="1050">
        <v>0</v>
      </c>
      <c r="D509" s="1052">
        <v>1400</v>
      </c>
      <c r="E509" s="1052">
        <v>6400</v>
      </c>
      <c r="F509" s="1052">
        <v>9900</v>
      </c>
      <c r="G509" s="1048">
        <f>F509</f>
        <v>9900</v>
      </c>
      <c r="H509" s="1048">
        <f t="shared" si="67"/>
        <v>9900</v>
      </c>
      <c r="I509" s="1052">
        <v>28200</v>
      </c>
      <c r="J509" s="1048">
        <v>29863.8</v>
      </c>
      <c r="K509" s="1048">
        <v>31536.1728</v>
      </c>
      <c r="L509" s="208"/>
      <c r="M509" s="209"/>
      <c r="N509" s="209"/>
      <c r="O509" s="209"/>
      <c r="P509" s="209"/>
      <c r="Q509" s="209"/>
      <c r="R509" s="209"/>
      <c r="S509" s="209"/>
      <c r="T509" s="209"/>
      <c r="U509" s="209"/>
      <c r="V509" s="209"/>
      <c r="W509" s="209"/>
    </row>
    <row r="510" spans="1:23" ht="11.25" customHeight="1" x14ac:dyDescent="0.25">
      <c r="A510" s="1165" t="s">
        <v>2447</v>
      </c>
      <c r="B510" s="1041"/>
      <c r="C510" s="1050">
        <v>0</v>
      </c>
      <c r="D510" s="1052"/>
      <c r="E510" s="1052">
        <v>0</v>
      </c>
      <c r="F510" s="1052">
        <v>0</v>
      </c>
      <c r="G510" s="1048">
        <v>0</v>
      </c>
      <c r="H510" s="1048">
        <f t="shared" si="67"/>
        <v>0</v>
      </c>
      <c r="I510" s="1052">
        <v>0</v>
      </c>
      <c r="J510" s="1048">
        <f t="shared" si="68"/>
        <v>0</v>
      </c>
      <c r="K510" s="1048">
        <f t="shared" si="69"/>
        <v>0</v>
      </c>
      <c r="L510" s="208"/>
      <c r="M510" s="209"/>
      <c r="N510" s="209"/>
      <c r="O510" s="209"/>
      <c r="P510" s="209"/>
      <c r="Q510" s="209"/>
      <c r="R510" s="209"/>
      <c r="S510" s="209"/>
      <c r="T510" s="209"/>
      <c r="U510" s="209"/>
      <c r="V510" s="209"/>
      <c r="W510" s="209"/>
    </row>
    <row r="511" spans="1:23" ht="11.25" customHeight="1" x14ac:dyDescent="0.25">
      <c r="A511" s="1165" t="s">
        <v>2391</v>
      </c>
      <c r="B511" s="1041"/>
      <c r="C511" s="1050">
        <v>0</v>
      </c>
      <c r="D511" s="1052">
        <v>20707.11</v>
      </c>
      <c r="E511" s="1052">
        <v>32492.07</v>
      </c>
      <c r="F511" s="1052">
        <v>32986</v>
      </c>
      <c r="G511" s="1048">
        <f>F511+3014</f>
        <v>36000</v>
      </c>
      <c r="H511" s="1048">
        <f t="shared" si="67"/>
        <v>36000</v>
      </c>
      <c r="I511" s="1052">
        <v>80856</v>
      </c>
      <c r="J511" s="1048">
        <v>85626.504000000001</v>
      </c>
      <c r="K511" s="1048">
        <v>90421.588224000006</v>
      </c>
      <c r="L511" s="208"/>
      <c r="M511" s="209"/>
      <c r="N511" s="209"/>
      <c r="O511" s="209"/>
      <c r="P511" s="209"/>
      <c r="Q511" s="209"/>
      <c r="R511" s="209"/>
      <c r="S511" s="209"/>
      <c r="T511" s="209"/>
      <c r="U511" s="209"/>
      <c r="V511" s="209"/>
      <c r="W511" s="209"/>
    </row>
    <row r="512" spans="1:23" ht="11.25" customHeight="1" x14ac:dyDescent="0.25">
      <c r="A512" s="1165" t="s">
        <v>2411</v>
      </c>
      <c r="B512" s="1041"/>
      <c r="C512" s="1050"/>
      <c r="D512" s="1052">
        <v>2175.1999999999998</v>
      </c>
      <c r="E512" s="1052">
        <v>15265.5</v>
      </c>
      <c r="F512" s="1052">
        <v>0</v>
      </c>
      <c r="G512" s="1048">
        <v>0</v>
      </c>
      <c r="H512" s="1048">
        <f t="shared" si="67"/>
        <v>0</v>
      </c>
      <c r="I512" s="1052">
        <v>0</v>
      </c>
      <c r="J512" s="1048">
        <f t="shared" si="68"/>
        <v>0</v>
      </c>
      <c r="K512" s="1048">
        <f t="shared" si="69"/>
        <v>0</v>
      </c>
      <c r="L512" s="208"/>
      <c r="M512" s="209"/>
      <c r="N512" s="209"/>
      <c r="O512" s="209"/>
      <c r="P512" s="209"/>
      <c r="Q512" s="209"/>
      <c r="R512" s="209"/>
      <c r="S512" s="209"/>
      <c r="T512" s="209"/>
      <c r="U512" s="209"/>
      <c r="V512" s="209"/>
      <c r="W512" s="209"/>
    </row>
    <row r="513" spans="1:23" ht="11.25" customHeight="1" x14ac:dyDescent="0.25">
      <c r="A513" s="1165" t="s">
        <v>2527</v>
      </c>
      <c r="B513" s="1041"/>
      <c r="C513" s="1050">
        <v>0</v>
      </c>
      <c r="D513" s="1052"/>
      <c r="E513" s="1052">
        <v>0</v>
      </c>
      <c r="F513" s="1052">
        <v>0</v>
      </c>
      <c r="G513" s="1048">
        <v>0</v>
      </c>
      <c r="H513" s="1048">
        <f t="shared" si="67"/>
        <v>0</v>
      </c>
      <c r="I513" s="1052">
        <v>0</v>
      </c>
      <c r="J513" s="1048">
        <f t="shared" si="68"/>
        <v>0</v>
      </c>
      <c r="K513" s="1048">
        <f t="shared" si="69"/>
        <v>0</v>
      </c>
      <c r="L513" s="208"/>
      <c r="M513" s="209"/>
      <c r="N513" s="209"/>
      <c r="O513" s="209"/>
      <c r="P513" s="209"/>
      <c r="Q513" s="209"/>
      <c r="R513" s="209"/>
      <c r="S513" s="209"/>
      <c r="T513" s="209"/>
      <c r="U513" s="209"/>
      <c r="V513" s="209"/>
      <c r="W513" s="209"/>
    </row>
    <row r="514" spans="1:23" ht="11.25" customHeight="1" x14ac:dyDescent="0.25">
      <c r="A514" s="1165" t="s">
        <v>2528</v>
      </c>
      <c r="B514" s="1041"/>
      <c r="C514" s="1050">
        <v>0</v>
      </c>
      <c r="D514" s="1052"/>
      <c r="E514" s="1052">
        <v>0</v>
      </c>
      <c r="F514" s="1052">
        <v>0</v>
      </c>
      <c r="G514" s="1048">
        <v>0</v>
      </c>
      <c r="H514" s="1048">
        <f t="shared" si="67"/>
        <v>0</v>
      </c>
      <c r="I514" s="1052">
        <v>0</v>
      </c>
      <c r="J514" s="1048">
        <f t="shared" si="68"/>
        <v>0</v>
      </c>
      <c r="K514" s="1048">
        <f t="shared" si="69"/>
        <v>0</v>
      </c>
      <c r="L514" s="208"/>
      <c r="M514" s="209"/>
      <c r="N514" s="209"/>
      <c r="O514" s="209"/>
      <c r="P514" s="209"/>
      <c r="Q514" s="209"/>
      <c r="R514" s="209"/>
      <c r="S514" s="209"/>
      <c r="T514" s="209"/>
      <c r="U514" s="209"/>
      <c r="V514" s="209"/>
      <c r="W514" s="209"/>
    </row>
    <row r="515" spans="1:23" ht="11.25" customHeight="1" x14ac:dyDescent="0.25">
      <c r="A515" s="1165" t="s">
        <v>2529</v>
      </c>
      <c r="B515" s="1041"/>
      <c r="C515" s="1050">
        <v>0</v>
      </c>
      <c r="D515" s="1052"/>
      <c r="E515" s="1052">
        <v>0</v>
      </c>
      <c r="F515" s="1052">
        <v>0</v>
      </c>
      <c r="G515" s="1048">
        <v>0</v>
      </c>
      <c r="H515" s="1048">
        <f t="shared" si="67"/>
        <v>0</v>
      </c>
      <c r="I515" s="1052">
        <v>0</v>
      </c>
      <c r="J515" s="1048">
        <f t="shared" si="68"/>
        <v>0</v>
      </c>
      <c r="K515" s="1048">
        <f t="shared" si="69"/>
        <v>0</v>
      </c>
      <c r="L515" s="208"/>
      <c r="M515" s="209"/>
      <c r="N515" s="209"/>
      <c r="O515" s="209"/>
      <c r="P515" s="209"/>
      <c r="Q515" s="209"/>
      <c r="R515" s="209"/>
      <c r="S515" s="209"/>
      <c r="T515" s="209"/>
      <c r="U515" s="209"/>
      <c r="V515" s="209"/>
      <c r="W515" s="209"/>
    </row>
    <row r="516" spans="1:23" ht="11.25" customHeight="1" x14ac:dyDescent="0.25">
      <c r="A516" s="1165" t="s">
        <v>2530</v>
      </c>
      <c r="B516" s="1041"/>
      <c r="C516" s="1050">
        <v>0</v>
      </c>
      <c r="D516" s="1052"/>
      <c r="E516" s="1052">
        <v>0</v>
      </c>
      <c r="F516" s="1052">
        <v>0</v>
      </c>
      <c r="G516" s="1048">
        <v>0</v>
      </c>
      <c r="H516" s="1048">
        <f t="shared" si="67"/>
        <v>0</v>
      </c>
      <c r="I516" s="1052">
        <v>0</v>
      </c>
      <c r="J516" s="1048">
        <f t="shared" si="68"/>
        <v>0</v>
      </c>
      <c r="K516" s="1048">
        <f t="shared" si="69"/>
        <v>0</v>
      </c>
      <c r="L516" s="208"/>
      <c r="M516" s="209"/>
      <c r="N516" s="209"/>
      <c r="O516" s="209"/>
      <c r="P516" s="209"/>
      <c r="Q516" s="209"/>
      <c r="R516" s="209"/>
      <c r="S516" s="209"/>
      <c r="T516" s="209"/>
      <c r="U516" s="209"/>
      <c r="V516" s="209"/>
      <c r="W516" s="209"/>
    </row>
    <row r="517" spans="1:23" ht="11.25" customHeight="1" x14ac:dyDescent="0.25">
      <c r="A517" s="1165" t="s">
        <v>2531</v>
      </c>
      <c r="B517" s="1041"/>
      <c r="C517" s="1050">
        <v>0</v>
      </c>
      <c r="D517" s="1052">
        <v>4709576.3099999996</v>
      </c>
      <c r="E517" s="1052">
        <v>0</v>
      </c>
      <c r="F517" s="1052">
        <v>1700000</v>
      </c>
      <c r="G517" s="1048">
        <f>F517+-1700000</f>
        <v>0</v>
      </c>
      <c r="H517" s="1048">
        <f t="shared" si="67"/>
        <v>0</v>
      </c>
      <c r="I517" s="1048">
        <v>600000</v>
      </c>
      <c r="J517" s="1048">
        <f t="shared" si="68"/>
        <v>635400</v>
      </c>
      <c r="K517" s="1048">
        <f t="shared" si="69"/>
        <v>670982.40000000002</v>
      </c>
      <c r="L517" s="208"/>
      <c r="M517" s="209"/>
      <c r="N517" s="209"/>
      <c r="O517" s="209"/>
      <c r="P517" s="209"/>
      <c r="Q517" s="209"/>
      <c r="R517" s="209"/>
      <c r="S517" s="209"/>
      <c r="T517" s="209"/>
      <c r="U517" s="209"/>
      <c r="V517" s="209"/>
      <c r="W517" s="209"/>
    </row>
    <row r="518" spans="1:23" ht="11.25" customHeight="1" x14ac:dyDescent="0.25">
      <c r="A518" s="1165" t="s">
        <v>2532</v>
      </c>
      <c r="B518" s="1041"/>
      <c r="C518" s="1050">
        <v>0</v>
      </c>
      <c r="D518" s="1052"/>
      <c r="E518" s="1052">
        <v>1561551.03</v>
      </c>
      <c r="F518" s="1052"/>
      <c r="G518" s="1048">
        <v>0</v>
      </c>
      <c r="H518" s="1048">
        <f t="shared" si="67"/>
        <v>0</v>
      </c>
      <c r="I518" s="1052">
        <v>0</v>
      </c>
      <c r="J518" s="1048">
        <f t="shared" si="68"/>
        <v>0</v>
      </c>
      <c r="K518" s="1048">
        <f t="shared" si="69"/>
        <v>0</v>
      </c>
      <c r="L518" s="208"/>
      <c r="M518" s="209"/>
      <c r="N518" s="209"/>
      <c r="O518" s="209"/>
      <c r="P518" s="209"/>
      <c r="Q518" s="209"/>
      <c r="R518" s="209"/>
      <c r="S518" s="209"/>
      <c r="T518" s="209"/>
      <c r="U518" s="209"/>
      <c r="V518" s="209"/>
      <c r="W518" s="209"/>
    </row>
    <row r="519" spans="1:23" ht="11.25" customHeight="1" x14ac:dyDescent="0.25">
      <c r="A519" s="1165" t="s">
        <v>2533</v>
      </c>
      <c r="B519" s="1041"/>
      <c r="C519" s="1050">
        <v>0</v>
      </c>
      <c r="D519" s="1052">
        <v>134549.95000000001</v>
      </c>
      <c r="E519" s="1052">
        <v>0</v>
      </c>
      <c r="F519" s="1052">
        <v>0</v>
      </c>
      <c r="G519" s="1048">
        <v>0</v>
      </c>
      <c r="H519" s="1048">
        <f t="shared" si="67"/>
        <v>0</v>
      </c>
      <c r="I519" s="1052">
        <v>0</v>
      </c>
      <c r="J519" s="1048">
        <f t="shared" si="68"/>
        <v>0</v>
      </c>
      <c r="K519" s="1048">
        <f t="shared" si="69"/>
        <v>0</v>
      </c>
      <c r="L519" s="208"/>
      <c r="M519" s="209"/>
      <c r="N519" s="209"/>
      <c r="O519" s="209"/>
      <c r="P519" s="209"/>
      <c r="Q519" s="209"/>
      <c r="R519" s="209"/>
      <c r="S519" s="209"/>
      <c r="T519" s="209"/>
      <c r="U519" s="209"/>
      <c r="V519" s="209"/>
      <c r="W519" s="209"/>
    </row>
    <row r="520" spans="1:23" ht="11.25" customHeight="1" x14ac:dyDescent="0.25">
      <c r="A520" s="1165" t="s">
        <v>2534</v>
      </c>
      <c r="B520" s="1041"/>
      <c r="C520" s="1050">
        <v>0</v>
      </c>
      <c r="D520" s="1052"/>
      <c r="E520" s="1052">
        <v>0</v>
      </c>
      <c r="F520" s="1052">
        <v>0</v>
      </c>
      <c r="G520" s="1048">
        <v>0</v>
      </c>
      <c r="H520" s="1048">
        <f t="shared" si="67"/>
        <v>0</v>
      </c>
      <c r="I520" s="1052">
        <v>0</v>
      </c>
      <c r="J520" s="1048">
        <f t="shared" si="68"/>
        <v>0</v>
      </c>
      <c r="K520" s="1048">
        <f t="shared" si="69"/>
        <v>0</v>
      </c>
      <c r="L520" s="208"/>
      <c r="M520" s="209"/>
      <c r="N520" s="209"/>
      <c r="O520" s="209"/>
      <c r="P520" s="209"/>
      <c r="Q520" s="209"/>
      <c r="R520" s="209"/>
      <c r="S520" s="209"/>
      <c r="T520" s="209"/>
      <c r="U520" s="209"/>
      <c r="V520" s="209"/>
      <c r="W520" s="209"/>
    </row>
    <row r="521" spans="1:23" ht="11.25" customHeight="1" x14ac:dyDescent="0.25">
      <c r="A521" s="1165" t="s">
        <v>2535</v>
      </c>
      <c r="B521" s="1041"/>
      <c r="C521" s="1050">
        <v>0</v>
      </c>
      <c r="D521" s="1052">
        <v>2189483.4</v>
      </c>
      <c r="E521" s="1052">
        <v>0</v>
      </c>
      <c r="F521" s="1052">
        <v>0</v>
      </c>
      <c r="G521" s="1048">
        <v>0</v>
      </c>
      <c r="H521" s="1048">
        <f t="shared" si="67"/>
        <v>0</v>
      </c>
      <c r="I521" s="1052">
        <v>0</v>
      </c>
      <c r="J521" s="1048">
        <f t="shared" si="68"/>
        <v>0</v>
      </c>
      <c r="K521" s="1048">
        <f t="shared" si="69"/>
        <v>0</v>
      </c>
      <c r="L521" s="208"/>
      <c r="M521" s="209"/>
      <c r="N521" s="209"/>
      <c r="O521" s="209"/>
      <c r="P521" s="209"/>
      <c r="Q521" s="209"/>
      <c r="R521" s="209"/>
      <c r="S521" s="209"/>
      <c r="T521" s="209"/>
      <c r="U521" s="209"/>
      <c r="V521" s="209"/>
      <c r="W521" s="209"/>
    </row>
    <row r="522" spans="1:23" ht="11.25" customHeight="1" x14ac:dyDescent="0.25">
      <c r="A522" s="1165" t="s">
        <v>2536</v>
      </c>
      <c r="B522" s="1041"/>
      <c r="C522" s="1049"/>
      <c r="D522" s="1050"/>
      <c r="E522" s="1052">
        <v>0</v>
      </c>
      <c r="F522" s="1052">
        <v>0</v>
      </c>
      <c r="G522" s="1048">
        <v>0</v>
      </c>
      <c r="H522" s="1048">
        <f t="shared" si="67"/>
        <v>0</v>
      </c>
      <c r="I522" s="1052">
        <v>0</v>
      </c>
      <c r="J522" s="1048">
        <f t="shared" si="68"/>
        <v>0</v>
      </c>
      <c r="K522" s="1048">
        <f t="shared" si="69"/>
        <v>0</v>
      </c>
      <c r="L522" s="208"/>
      <c r="M522" s="209"/>
      <c r="N522" s="209"/>
      <c r="O522" s="209"/>
      <c r="P522" s="209"/>
      <c r="Q522" s="209"/>
      <c r="R522" s="209"/>
      <c r="S522" s="209"/>
      <c r="T522" s="209"/>
      <c r="U522" s="209"/>
      <c r="V522" s="209"/>
      <c r="W522" s="209"/>
    </row>
    <row r="523" spans="1:23" ht="11.25" customHeight="1" x14ac:dyDescent="0.25">
      <c r="A523" s="1165" t="s">
        <v>2537</v>
      </c>
      <c r="B523" s="1041"/>
      <c r="C523" s="1048">
        <v>0</v>
      </c>
      <c r="D523" s="1049">
        <v>606305.24</v>
      </c>
      <c r="E523" s="1050">
        <v>0</v>
      </c>
      <c r="F523" s="1052">
        <v>100000</v>
      </c>
      <c r="G523" s="1048">
        <f>F523+-100000</f>
        <v>0</v>
      </c>
      <c r="H523" s="1048">
        <f t="shared" si="67"/>
        <v>0</v>
      </c>
      <c r="I523" s="1048">
        <v>600000</v>
      </c>
      <c r="J523" s="1048">
        <f t="shared" si="68"/>
        <v>635400</v>
      </c>
      <c r="K523" s="1048">
        <f t="shared" si="69"/>
        <v>670982.40000000002</v>
      </c>
      <c r="L523" s="208"/>
      <c r="M523" s="209"/>
      <c r="N523" s="209"/>
      <c r="O523" s="209"/>
      <c r="P523" s="209"/>
      <c r="Q523" s="209"/>
      <c r="R523" s="209"/>
      <c r="S523" s="209"/>
      <c r="T523" s="209"/>
      <c r="U523" s="209"/>
      <c r="V523" s="209"/>
      <c r="W523" s="209"/>
    </row>
    <row r="524" spans="1:23" ht="11.25" customHeight="1" x14ac:dyDescent="0.25">
      <c r="A524" s="1165"/>
      <c r="B524" s="1041"/>
      <c r="C524" s="1048"/>
      <c r="D524" s="1048"/>
      <c r="E524" s="1049"/>
      <c r="F524" s="1050"/>
      <c r="G524" s="1048"/>
      <c r="H524" s="1051"/>
      <c r="I524" s="1052"/>
      <c r="J524" s="1048"/>
      <c r="K524" s="2677"/>
      <c r="L524" s="208"/>
      <c r="M524" s="209"/>
      <c r="N524" s="209"/>
      <c r="O524" s="209"/>
      <c r="P524" s="209"/>
      <c r="Q524" s="209"/>
      <c r="R524" s="209"/>
      <c r="S524" s="209"/>
      <c r="T524" s="209"/>
      <c r="U524" s="209"/>
      <c r="V524" s="209"/>
      <c r="W524" s="209"/>
    </row>
    <row r="525" spans="1:23" ht="11.25" customHeight="1" x14ac:dyDescent="0.25">
      <c r="A525" s="1165">
        <f>A102</f>
        <v>0</v>
      </c>
      <c r="B525" s="1041"/>
      <c r="C525" s="1048"/>
      <c r="D525" s="1048"/>
      <c r="E525" s="1049"/>
      <c r="F525" s="1050"/>
      <c r="G525" s="1048"/>
      <c r="H525" s="1051"/>
      <c r="I525" s="1052"/>
      <c r="J525" s="1048"/>
      <c r="K525" s="2677"/>
      <c r="L525" s="208"/>
      <c r="M525" s="209"/>
      <c r="N525" s="209"/>
      <c r="O525" s="209"/>
      <c r="P525" s="209"/>
      <c r="Q525" s="209"/>
      <c r="R525" s="209"/>
      <c r="S525" s="209"/>
      <c r="T525" s="209"/>
      <c r="U525" s="209"/>
      <c r="V525" s="209"/>
      <c r="W525" s="209"/>
    </row>
    <row r="526" spans="1:23" ht="11.25" customHeight="1" x14ac:dyDescent="0.25">
      <c r="A526" s="1165">
        <f>A103</f>
        <v>0</v>
      </c>
      <c r="B526" s="1041"/>
      <c r="C526" s="1048"/>
      <c r="D526" s="1048"/>
      <c r="E526" s="1049"/>
      <c r="F526" s="1050"/>
      <c r="G526" s="1048"/>
      <c r="H526" s="1051"/>
      <c r="I526" s="1052"/>
      <c r="J526" s="1048"/>
      <c r="K526" s="2677"/>
      <c r="L526" s="208"/>
      <c r="M526" s="209"/>
      <c r="N526" s="209"/>
      <c r="O526" s="209"/>
      <c r="P526" s="209"/>
      <c r="Q526" s="209"/>
      <c r="R526" s="209"/>
      <c r="S526" s="209"/>
      <c r="T526" s="209"/>
      <c r="U526" s="209"/>
      <c r="V526" s="209"/>
      <c r="W526" s="209"/>
    </row>
    <row r="527" spans="1:23" ht="15" customHeight="1" x14ac:dyDescent="0.25">
      <c r="A527" s="1164" t="str">
        <f>A104</f>
        <v>Vote 11 - 560 SANITATION SERVICES</v>
      </c>
      <c r="B527" s="1041"/>
      <c r="C527" s="971">
        <f t="shared" ref="C527:K527" si="70">SUM(C528:C540)</f>
        <v>0</v>
      </c>
      <c r="D527" s="971">
        <f t="shared" si="70"/>
        <v>0</v>
      </c>
      <c r="E527" s="972">
        <f t="shared" si="70"/>
        <v>0</v>
      </c>
      <c r="F527" s="973">
        <f t="shared" si="70"/>
        <v>0</v>
      </c>
      <c r="G527" s="971">
        <f t="shared" si="70"/>
        <v>0</v>
      </c>
      <c r="H527" s="974">
        <f t="shared" si="70"/>
        <v>0</v>
      </c>
      <c r="I527" s="2685">
        <f t="shared" si="70"/>
        <v>5803456</v>
      </c>
      <c r="J527" s="2686">
        <f t="shared" si="70"/>
        <v>6145859.9040000001</v>
      </c>
      <c r="K527" s="2686">
        <f t="shared" si="70"/>
        <v>6490028.0586240003</v>
      </c>
      <c r="L527" s="208"/>
      <c r="M527" s="209"/>
      <c r="N527" s="209"/>
      <c r="O527" s="209"/>
      <c r="P527" s="209"/>
      <c r="Q527" s="209"/>
      <c r="R527" s="209"/>
      <c r="S527" s="209"/>
      <c r="T527" s="209"/>
      <c r="U527" s="209"/>
      <c r="V527" s="209"/>
      <c r="W527" s="209"/>
    </row>
    <row r="528" spans="1:23" ht="11.25" customHeight="1" x14ac:dyDescent="0.25">
      <c r="A528" s="1165" t="s">
        <v>2375</v>
      </c>
      <c r="B528" s="1041"/>
      <c r="C528" s="1048">
        <v>0</v>
      </c>
      <c r="D528" s="1048">
        <v>0</v>
      </c>
      <c r="E528" s="1049">
        <v>0</v>
      </c>
      <c r="F528" s="1050">
        <v>0</v>
      </c>
      <c r="G528" s="1048">
        <v>0</v>
      </c>
      <c r="H528" s="1051">
        <v>0</v>
      </c>
      <c r="I528" s="1052">
        <v>4052639</v>
      </c>
      <c r="J528" s="1048">
        <v>4291744.7009999994</v>
      </c>
      <c r="K528" s="1048">
        <v>4532082.4042559993</v>
      </c>
      <c r="L528" s="208"/>
      <c r="M528" s="209"/>
      <c r="N528" s="209"/>
      <c r="O528" s="209"/>
      <c r="P528" s="209"/>
      <c r="Q528" s="209"/>
      <c r="R528" s="209"/>
      <c r="S528" s="209"/>
      <c r="T528" s="209"/>
      <c r="U528" s="209"/>
      <c r="V528" s="209"/>
      <c r="W528" s="209"/>
    </row>
    <row r="529" spans="1:23" ht="11.25" customHeight="1" x14ac:dyDescent="0.25">
      <c r="A529" s="1165" t="s">
        <v>2432</v>
      </c>
      <c r="B529" s="1041"/>
      <c r="C529" s="1048">
        <v>0</v>
      </c>
      <c r="D529" s="1048">
        <v>0</v>
      </c>
      <c r="E529" s="1049">
        <v>0</v>
      </c>
      <c r="F529" s="1050">
        <v>0</v>
      </c>
      <c r="G529" s="1048">
        <v>0</v>
      </c>
      <c r="H529" s="1051">
        <v>0</v>
      </c>
      <c r="I529" s="1052">
        <v>337720</v>
      </c>
      <c r="J529" s="1048">
        <v>357645.48</v>
      </c>
      <c r="K529" s="1048">
        <v>377673.62688</v>
      </c>
      <c r="L529" s="208"/>
      <c r="M529" s="209"/>
      <c r="N529" s="209"/>
      <c r="O529" s="209"/>
      <c r="P529" s="209"/>
      <c r="Q529" s="209"/>
      <c r="R529" s="209"/>
      <c r="S529" s="209"/>
      <c r="T529" s="209"/>
      <c r="U529" s="209"/>
      <c r="V529" s="209"/>
      <c r="W529" s="209"/>
    </row>
    <row r="530" spans="1:23" ht="11.25" customHeight="1" x14ac:dyDescent="0.25">
      <c r="A530" s="1165" t="s">
        <v>2457</v>
      </c>
      <c r="B530" s="1041"/>
      <c r="C530" s="1048">
        <v>0</v>
      </c>
      <c r="D530" s="1048">
        <v>0</v>
      </c>
      <c r="E530" s="1049">
        <v>0</v>
      </c>
      <c r="F530" s="1050">
        <v>0</v>
      </c>
      <c r="G530" s="1048">
        <v>0</v>
      </c>
      <c r="H530" s="1051">
        <v>0</v>
      </c>
      <c r="I530" s="1052">
        <v>2784</v>
      </c>
      <c r="J530" s="1048">
        <v>2948.2559999999999</v>
      </c>
      <c r="K530" s="1048">
        <v>3113.3583359999998</v>
      </c>
      <c r="L530" s="208"/>
      <c r="M530" s="209"/>
      <c r="N530" s="209"/>
      <c r="O530" s="209"/>
      <c r="P530" s="209"/>
      <c r="Q530" s="209"/>
      <c r="R530" s="209"/>
      <c r="S530" s="209"/>
      <c r="T530" s="209"/>
      <c r="U530" s="209"/>
      <c r="V530" s="209"/>
      <c r="W530" s="209"/>
    </row>
    <row r="531" spans="1:23" ht="11.25" customHeight="1" x14ac:dyDescent="0.25">
      <c r="A531" s="1165" t="s">
        <v>2376</v>
      </c>
      <c r="B531" s="1041"/>
      <c r="C531" s="1048">
        <v>0</v>
      </c>
      <c r="D531" s="1048">
        <v>0</v>
      </c>
      <c r="E531" s="1049">
        <v>0</v>
      </c>
      <c r="F531" s="1050">
        <v>0</v>
      </c>
      <c r="G531" s="1048">
        <v>0</v>
      </c>
      <c r="H531" s="1051">
        <v>0</v>
      </c>
      <c r="I531" s="1052">
        <v>829572</v>
      </c>
      <c r="J531" s="1048">
        <v>878516.74799999991</v>
      </c>
      <c r="K531" s="1048">
        <v>927713.68588799995</v>
      </c>
      <c r="L531" s="208"/>
      <c r="M531" s="209"/>
      <c r="N531" s="209"/>
      <c r="O531" s="209"/>
      <c r="P531" s="209"/>
      <c r="Q531" s="209"/>
      <c r="R531" s="209"/>
      <c r="S531" s="209"/>
      <c r="T531" s="209"/>
      <c r="U531" s="209"/>
      <c r="V531" s="209"/>
      <c r="W531" s="209"/>
    </row>
    <row r="532" spans="1:23" ht="11.25" customHeight="1" x14ac:dyDescent="0.25">
      <c r="A532" s="1165" t="s">
        <v>2377</v>
      </c>
      <c r="B532" s="1041"/>
      <c r="C532" s="1048">
        <v>0</v>
      </c>
      <c r="D532" s="1048">
        <v>0</v>
      </c>
      <c r="E532" s="1049">
        <v>0</v>
      </c>
      <c r="F532" s="1050">
        <v>0</v>
      </c>
      <c r="G532" s="1048">
        <v>0</v>
      </c>
      <c r="H532" s="1051">
        <v>0</v>
      </c>
      <c r="I532" s="1052">
        <v>194889</v>
      </c>
      <c r="J532" s="1048">
        <v>206387.451</v>
      </c>
      <c r="K532" s="1048">
        <v>217945.14825600001</v>
      </c>
      <c r="L532" s="208"/>
      <c r="M532" s="209"/>
      <c r="N532" s="209"/>
      <c r="O532" s="209"/>
      <c r="P532" s="209"/>
      <c r="Q532" s="209"/>
      <c r="R532" s="209"/>
      <c r="S532" s="209"/>
      <c r="T532" s="209"/>
      <c r="U532" s="209"/>
      <c r="V532" s="209"/>
      <c r="W532" s="209"/>
    </row>
    <row r="533" spans="1:23" ht="11.25" customHeight="1" x14ac:dyDescent="0.25">
      <c r="A533" s="1165" t="s">
        <v>2380</v>
      </c>
      <c r="B533" s="1041"/>
      <c r="C533" s="1048">
        <v>0</v>
      </c>
      <c r="D533" s="1048">
        <v>0</v>
      </c>
      <c r="E533" s="1049">
        <v>0</v>
      </c>
      <c r="F533" s="1050">
        <v>0</v>
      </c>
      <c r="G533" s="1048">
        <v>0</v>
      </c>
      <c r="H533" s="1051">
        <v>0</v>
      </c>
      <c r="I533" s="1052">
        <v>40526</v>
      </c>
      <c r="J533" s="1048">
        <v>42917.034</v>
      </c>
      <c r="K533" s="1048">
        <v>45320.387904000003</v>
      </c>
      <c r="L533" s="208"/>
      <c r="M533" s="209"/>
      <c r="N533" s="209"/>
      <c r="O533" s="209"/>
      <c r="P533" s="209"/>
      <c r="Q533" s="209"/>
      <c r="R533" s="209"/>
      <c r="S533" s="209"/>
      <c r="T533" s="209"/>
      <c r="U533" s="209"/>
      <c r="V533" s="209"/>
      <c r="W533" s="209"/>
    </row>
    <row r="534" spans="1:23" ht="11.25" customHeight="1" x14ac:dyDescent="0.25">
      <c r="A534" s="1165" t="s">
        <v>2447</v>
      </c>
      <c r="B534" s="1041"/>
      <c r="C534" s="1048">
        <v>0</v>
      </c>
      <c r="D534" s="1048">
        <v>0</v>
      </c>
      <c r="E534" s="1049">
        <v>0</v>
      </c>
      <c r="F534" s="1050">
        <v>0</v>
      </c>
      <c r="G534" s="1048">
        <v>0</v>
      </c>
      <c r="H534" s="1051">
        <v>0</v>
      </c>
      <c r="I534" s="1052">
        <v>0</v>
      </c>
      <c r="J534" s="1048">
        <f t="shared" ref="J534:J537" si="71">I534*1.059</f>
        <v>0</v>
      </c>
      <c r="K534" s="1048">
        <f t="shared" ref="K534:K537" si="72">J534*1.056</f>
        <v>0</v>
      </c>
      <c r="L534" s="208"/>
      <c r="M534" s="209"/>
      <c r="N534" s="209"/>
      <c r="O534" s="209"/>
      <c r="P534" s="209"/>
      <c r="Q534" s="209"/>
      <c r="R534" s="209"/>
      <c r="S534" s="209"/>
      <c r="T534" s="209"/>
      <c r="U534" s="209"/>
      <c r="V534" s="209"/>
      <c r="W534" s="209"/>
    </row>
    <row r="535" spans="1:23" ht="11.25" customHeight="1" x14ac:dyDescent="0.25">
      <c r="A535" s="1165" t="s">
        <v>2446</v>
      </c>
      <c r="B535" s="1041"/>
      <c r="C535" s="1048">
        <v>0</v>
      </c>
      <c r="D535" s="1048">
        <v>0</v>
      </c>
      <c r="E535" s="1049">
        <v>0</v>
      </c>
      <c r="F535" s="1050">
        <v>0</v>
      </c>
      <c r="G535" s="1048">
        <v>0</v>
      </c>
      <c r="H535" s="1051">
        <v>0</v>
      </c>
      <c r="I535" s="1052">
        <v>4800</v>
      </c>
      <c r="J535" s="1048">
        <v>5083.2</v>
      </c>
      <c r="K535" s="1048">
        <v>5367.8591999999999</v>
      </c>
      <c r="L535" s="208"/>
      <c r="M535" s="209"/>
      <c r="N535" s="209"/>
      <c r="O535" s="209"/>
      <c r="P535" s="209"/>
      <c r="Q535" s="209"/>
      <c r="R535" s="209"/>
      <c r="S535" s="209"/>
      <c r="T535" s="209"/>
      <c r="U535" s="209"/>
      <c r="V535" s="209"/>
      <c r="W535" s="209"/>
    </row>
    <row r="536" spans="1:23" ht="11.25" customHeight="1" x14ac:dyDescent="0.25">
      <c r="A536" s="1165" t="s">
        <v>2391</v>
      </c>
      <c r="B536" s="1041"/>
      <c r="C536" s="1048">
        <v>0</v>
      </c>
      <c r="D536" s="1048">
        <v>0</v>
      </c>
      <c r="E536" s="1049">
        <v>0</v>
      </c>
      <c r="F536" s="1050">
        <v>0</v>
      </c>
      <c r="G536" s="1048">
        <v>0</v>
      </c>
      <c r="H536" s="1051">
        <v>0</v>
      </c>
      <c r="I536" s="1052">
        <v>40526</v>
      </c>
      <c r="J536" s="1048">
        <v>42917.034</v>
      </c>
      <c r="K536" s="1048">
        <v>45320.387904000003</v>
      </c>
      <c r="L536" s="208"/>
      <c r="M536" s="209"/>
      <c r="N536" s="209"/>
      <c r="O536" s="209"/>
      <c r="P536" s="209"/>
      <c r="Q536" s="209"/>
      <c r="R536" s="209"/>
      <c r="S536" s="209"/>
      <c r="T536" s="209"/>
      <c r="U536" s="209"/>
      <c r="V536" s="209"/>
      <c r="W536" s="209"/>
    </row>
    <row r="537" spans="1:23" ht="11.25" customHeight="1" x14ac:dyDescent="0.25">
      <c r="A537" s="1165" t="s">
        <v>2781</v>
      </c>
      <c r="B537" s="1041"/>
      <c r="C537" s="1048">
        <v>0</v>
      </c>
      <c r="D537" s="1048">
        <v>0</v>
      </c>
      <c r="E537" s="1049">
        <v>0</v>
      </c>
      <c r="F537" s="1050">
        <v>0</v>
      </c>
      <c r="G537" s="1048">
        <v>0</v>
      </c>
      <c r="H537" s="1051">
        <v>0</v>
      </c>
      <c r="I537" s="1048">
        <v>300000</v>
      </c>
      <c r="J537" s="1048">
        <f t="shared" si="71"/>
        <v>317700</v>
      </c>
      <c r="K537" s="1048">
        <f t="shared" si="72"/>
        <v>335491.20000000001</v>
      </c>
      <c r="L537" s="208"/>
      <c r="M537" s="209"/>
      <c r="N537" s="209"/>
      <c r="O537" s="209"/>
      <c r="P537" s="209"/>
      <c r="Q537" s="209"/>
      <c r="R537" s="209"/>
      <c r="S537" s="209"/>
      <c r="T537" s="209"/>
      <c r="U537" s="209"/>
      <c r="V537" s="209"/>
      <c r="W537" s="209"/>
    </row>
    <row r="538" spans="1:23" ht="11.25" customHeight="1" x14ac:dyDescent="0.25">
      <c r="A538" s="1165">
        <f>A112</f>
        <v>0</v>
      </c>
      <c r="B538" s="1041"/>
      <c r="C538" s="1048"/>
      <c r="D538" s="1048"/>
      <c r="E538" s="1049"/>
      <c r="F538" s="1050"/>
      <c r="G538" s="1048"/>
      <c r="H538" s="1051"/>
      <c r="I538" s="1052"/>
      <c r="J538" s="1048"/>
      <c r="K538" s="2677"/>
      <c r="L538" s="208"/>
      <c r="M538" s="209"/>
      <c r="N538" s="209"/>
      <c r="O538" s="209"/>
      <c r="P538" s="209"/>
      <c r="Q538" s="209"/>
      <c r="R538" s="209"/>
      <c r="S538" s="209"/>
      <c r="T538" s="209"/>
      <c r="U538" s="209"/>
      <c r="V538" s="209"/>
      <c r="W538" s="209"/>
    </row>
    <row r="539" spans="1:23" ht="11.25" customHeight="1" x14ac:dyDescent="0.25">
      <c r="A539" s="1165">
        <f>A113</f>
        <v>0</v>
      </c>
      <c r="B539" s="1041"/>
      <c r="C539" s="1048"/>
      <c r="D539" s="1048"/>
      <c r="E539" s="1049"/>
      <c r="F539" s="1050"/>
      <c r="G539" s="1048"/>
      <c r="H539" s="1051"/>
      <c r="I539" s="1052"/>
      <c r="J539" s="1048"/>
      <c r="K539" s="2677"/>
      <c r="L539" s="208"/>
      <c r="M539" s="209"/>
      <c r="N539" s="209"/>
      <c r="O539" s="209"/>
      <c r="P539" s="209"/>
      <c r="Q539" s="209"/>
      <c r="R539" s="209"/>
      <c r="S539" s="209"/>
      <c r="T539" s="209"/>
      <c r="U539" s="209"/>
      <c r="V539" s="209"/>
      <c r="W539" s="209"/>
    </row>
    <row r="540" spans="1:23" ht="11.25" customHeight="1" x14ac:dyDescent="0.25">
      <c r="A540" s="1165">
        <f>A114</f>
        <v>0</v>
      </c>
      <c r="B540" s="1041"/>
      <c r="C540" s="1048"/>
      <c r="D540" s="1048"/>
      <c r="E540" s="1049"/>
      <c r="F540" s="1050"/>
      <c r="G540" s="1048"/>
      <c r="H540" s="1051"/>
      <c r="I540" s="1052"/>
      <c r="J540" s="1048"/>
      <c r="K540" s="2677"/>
      <c r="L540" s="208"/>
      <c r="M540" s="209"/>
      <c r="N540" s="209"/>
      <c r="O540" s="209"/>
      <c r="P540" s="209"/>
      <c r="Q540" s="209"/>
      <c r="R540" s="209"/>
      <c r="S540" s="209"/>
      <c r="T540" s="209"/>
      <c r="U540" s="209"/>
      <c r="V540" s="209"/>
      <c r="W540" s="209"/>
    </row>
    <row r="541" spans="1:23" ht="15" customHeight="1" x14ac:dyDescent="0.25">
      <c r="A541" s="1164" t="str">
        <f>A115</f>
        <v>Vote 12 - 106 CORPORATE SERVICES</v>
      </c>
      <c r="B541" s="1041"/>
      <c r="C541" s="971">
        <f t="shared" ref="C541:K541" si="73">SUM(C542:C590)</f>
        <v>0</v>
      </c>
      <c r="D541" s="971">
        <f t="shared" si="73"/>
        <v>12552106.399999997</v>
      </c>
      <c r="E541" s="972">
        <f t="shared" si="73"/>
        <v>33654172</v>
      </c>
      <c r="F541" s="973">
        <f t="shared" si="73"/>
        <v>21574835</v>
      </c>
      <c r="G541" s="971">
        <f t="shared" si="73"/>
        <v>22904213.750000004</v>
      </c>
      <c r="H541" s="974">
        <f t="shared" si="73"/>
        <v>22904213.750000004</v>
      </c>
      <c r="I541" s="975">
        <f t="shared" si="73"/>
        <v>24250474.91</v>
      </c>
      <c r="J541" s="971">
        <f t="shared" si="73"/>
        <v>25681252.929690003</v>
      </c>
      <c r="K541" s="971">
        <f t="shared" si="73"/>
        <v>27119403.093752641</v>
      </c>
      <c r="L541" s="208"/>
      <c r="M541" s="209"/>
      <c r="N541" s="209"/>
      <c r="O541" s="209"/>
      <c r="P541" s="209"/>
      <c r="Q541" s="209"/>
      <c r="R541" s="209"/>
      <c r="S541" s="209"/>
      <c r="T541" s="209"/>
      <c r="U541" s="209"/>
      <c r="V541" s="209"/>
      <c r="W541" s="209"/>
    </row>
    <row r="542" spans="1:23" ht="11.25" customHeight="1" x14ac:dyDescent="0.25">
      <c r="A542" s="1165" t="s">
        <v>2375</v>
      </c>
      <c r="B542" s="1041"/>
      <c r="C542" s="1050">
        <v>0</v>
      </c>
      <c r="D542" s="1052">
        <v>6484943.2199999997</v>
      </c>
      <c r="E542" s="1052">
        <v>8425344.5199999996</v>
      </c>
      <c r="F542" s="1052">
        <v>9443102</v>
      </c>
      <c r="G542" s="1048">
        <f>F542+-1103739</f>
        <v>8339363</v>
      </c>
      <c r="H542" s="1048">
        <f>G542</f>
        <v>8339363</v>
      </c>
      <c r="I542" s="1052">
        <v>8774697</v>
      </c>
      <c r="J542" s="1048">
        <v>9292404.1229999997</v>
      </c>
      <c r="K542" s="1048">
        <v>9812778.7538879998</v>
      </c>
      <c r="L542" s="208"/>
      <c r="M542" s="209"/>
      <c r="N542" s="209"/>
      <c r="O542" s="209"/>
      <c r="P542" s="209"/>
      <c r="Q542" s="209"/>
      <c r="R542" s="209"/>
      <c r="S542" s="209"/>
      <c r="T542" s="209"/>
      <c r="U542" s="209"/>
      <c r="V542" s="209"/>
      <c r="W542" s="209"/>
    </row>
    <row r="543" spans="1:23" ht="11.25" customHeight="1" x14ac:dyDescent="0.25">
      <c r="A543" s="1165" t="s">
        <v>2432</v>
      </c>
      <c r="B543" s="1041"/>
      <c r="C543" s="1050">
        <v>0</v>
      </c>
      <c r="D543" s="1052">
        <v>334653.51</v>
      </c>
      <c r="E543" s="1052">
        <v>609353.07999999996</v>
      </c>
      <c r="F543" s="1052">
        <v>636925</v>
      </c>
      <c r="G543" s="1048">
        <f>F543+-58613</f>
        <v>578312</v>
      </c>
      <c r="H543" s="1048">
        <f t="shared" ref="H543:H587" si="74">G543</f>
        <v>578312</v>
      </c>
      <c r="I543" s="1052">
        <v>769080</v>
      </c>
      <c r="J543" s="1048">
        <v>814455.72</v>
      </c>
      <c r="K543" s="1048">
        <v>860065.24031999998</v>
      </c>
      <c r="L543" s="208"/>
      <c r="M543" s="209"/>
      <c r="N543" s="209"/>
      <c r="O543" s="209"/>
      <c r="P543" s="209"/>
      <c r="Q543" s="209"/>
      <c r="R543" s="209"/>
      <c r="S543" s="209"/>
      <c r="T543" s="209"/>
      <c r="U543" s="209"/>
      <c r="V543" s="209"/>
      <c r="W543" s="209"/>
    </row>
    <row r="544" spans="1:23" ht="11.25" customHeight="1" x14ac:dyDescent="0.25">
      <c r="A544" s="1165" t="s">
        <v>2457</v>
      </c>
      <c r="B544" s="1041"/>
      <c r="C544" s="1050">
        <v>0</v>
      </c>
      <c r="D544" s="1052">
        <v>2457.35</v>
      </c>
      <c r="E544" s="1052">
        <v>3061.9</v>
      </c>
      <c r="F544" s="1052">
        <v>2500</v>
      </c>
      <c r="G544" s="1048">
        <f>F544+632</f>
        <v>3132</v>
      </c>
      <c r="H544" s="1048">
        <f t="shared" si="74"/>
        <v>3132</v>
      </c>
      <c r="I544" s="1052">
        <v>3045</v>
      </c>
      <c r="J544" s="1048">
        <v>3224.6549999999997</v>
      </c>
      <c r="K544" s="1048">
        <v>3405.2356799999998</v>
      </c>
      <c r="L544" s="208"/>
      <c r="M544" s="209"/>
      <c r="N544" s="209"/>
      <c r="O544" s="209"/>
      <c r="P544" s="209"/>
      <c r="Q544" s="209"/>
      <c r="R544" s="209"/>
      <c r="S544" s="209"/>
      <c r="T544" s="209"/>
      <c r="U544" s="209"/>
      <c r="V544" s="209"/>
      <c r="W544" s="209"/>
    </row>
    <row r="545" spans="1:23" ht="11.25" customHeight="1" x14ac:dyDescent="0.25">
      <c r="A545" s="1165" t="s">
        <v>2434</v>
      </c>
      <c r="B545" s="1041"/>
      <c r="C545" s="1050">
        <v>0</v>
      </c>
      <c r="D545" s="1052">
        <v>185809.13</v>
      </c>
      <c r="E545" s="1052">
        <v>73719.91</v>
      </c>
      <c r="F545" s="1052">
        <v>0</v>
      </c>
      <c r="G545" s="1048">
        <v>73257</v>
      </c>
      <c r="H545" s="1048">
        <f t="shared" si="74"/>
        <v>73257</v>
      </c>
      <c r="I545" s="1052">
        <v>77505.91</v>
      </c>
      <c r="J545" s="1048">
        <v>82078.758690000002</v>
      </c>
      <c r="K545" s="1048">
        <v>86675.169176640004</v>
      </c>
      <c r="L545" s="208"/>
      <c r="M545" s="209"/>
      <c r="N545" s="209"/>
      <c r="O545" s="209"/>
      <c r="P545" s="209"/>
      <c r="Q545" s="209"/>
      <c r="R545" s="209"/>
      <c r="S545" s="209"/>
      <c r="T545" s="209"/>
      <c r="U545" s="209"/>
      <c r="V545" s="209"/>
      <c r="W545" s="209"/>
    </row>
    <row r="546" spans="1:23" ht="11.25" customHeight="1" x14ac:dyDescent="0.25">
      <c r="A546" s="1165" t="s">
        <v>2435</v>
      </c>
      <c r="B546" s="1041"/>
      <c r="C546" s="1050">
        <v>0</v>
      </c>
      <c r="D546" s="1052">
        <v>208637.77</v>
      </c>
      <c r="E546" s="1052">
        <v>156069.46</v>
      </c>
      <c r="F546" s="1052">
        <v>0</v>
      </c>
      <c r="G546" s="1048">
        <v>0</v>
      </c>
      <c r="H546" s="1048">
        <f t="shared" si="74"/>
        <v>0</v>
      </c>
      <c r="I546" s="1052">
        <v>0</v>
      </c>
      <c r="J546" s="1048">
        <f t="shared" ref="J546:J587" si="75">I546*1.059</f>
        <v>0</v>
      </c>
      <c r="K546" s="1048">
        <f t="shared" ref="K546:K587" si="76">J546*1.056</f>
        <v>0</v>
      </c>
      <c r="L546" s="208"/>
      <c r="M546" s="209"/>
      <c r="N546" s="209"/>
      <c r="O546" s="209"/>
      <c r="P546" s="209"/>
      <c r="Q546" s="209"/>
      <c r="R546" s="209"/>
      <c r="S546" s="209"/>
      <c r="T546" s="209"/>
      <c r="U546" s="209"/>
      <c r="V546" s="209"/>
      <c r="W546" s="209"/>
    </row>
    <row r="547" spans="1:23" ht="11.25" customHeight="1" x14ac:dyDescent="0.25">
      <c r="A547" s="1165" t="s">
        <v>2376</v>
      </c>
      <c r="B547" s="1041"/>
      <c r="C547" s="1050">
        <v>0</v>
      </c>
      <c r="D547" s="1052">
        <v>1269505.1599999999</v>
      </c>
      <c r="E547" s="1052">
        <v>1608272.83</v>
      </c>
      <c r="F547" s="1052">
        <v>1421497</v>
      </c>
      <c r="G547" s="1048">
        <f>F547+187685</f>
        <v>1609182</v>
      </c>
      <c r="H547" s="1048">
        <f t="shared" si="74"/>
        <v>1609182</v>
      </c>
      <c r="I547" s="1048">
        <v>1643403</v>
      </c>
      <c r="J547" s="1048">
        <v>1740363.777</v>
      </c>
      <c r="K547" s="1048">
        <v>1837824.148512</v>
      </c>
      <c r="L547" s="208"/>
      <c r="M547" s="209"/>
      <c r="N547" s="209"/>
      <c r="O547" s="209"/>
      <c r="P547" s="209"/>
      <c r="Q547" s="209"/>
      <c r="R547" s="209"/>
      <c r="S547" s="209"/>
      <c r="T547" s="209"/>
      <c r="U547" s="209"/>
      <c r="V547" s="209"/>
      <c r="W547" s="209"/>
    </row>
    <row r="548" spans="1:23" ht="11.25" customHeight="1" x14ac:dyDescent="0.25">
      <c r="A548" s="1165" t="s">
        <v>2377</v>
      </c>
      <c r="B548" s="1041"/>
      <c r="C548" s="1050">
        <v>0</v>
      </c>
      <c r="D548" s="1052">
        <v>413704.35</v>
      </c>
      <c r="E548" s="1052">
        <v>582577</v>
      </c>
      <c r="F548" s="1052">
        <v>596312</v>
      </c>
      <c r="G548" s="1048">
        <f>F548+5143</f>
        <v>601455</v>
      </c>
      <c r="H548" s="1048">
        <f t="shared" si="74"/>
        <v>601455</v>
      </c>
      <c r="I548" s="1052">
        <v>617026</v>
      </c>
      <c r="J548" s="1048">
        <v>653430.53399999999</v>
      </c>
      <c r="K548" s="1048">
        <v>690022.64390400006</v>
      </c>
      <c r="L548" s="208"/>
      <c r="M548" s="209"/>
      <c r="N548" s="209"/>
      <c r="O548" s="209"/>
      <c r="P548" s="209"/>
      <c r="Q548" s="209"/>
      <c r="R548" s="209"/>
      <c r="S548" s="209"/>
      <c r="T548" s="209"/>
      <c r="U548" s="209"/>
      <c r="V548" s="209"/>
      <c r="W548" s="209"/>
    </row>
    <row r="549" spans="1:23" ht="11.25" customHeight="1" x14ac:dyDescent="0.25">
      <c r="A549" s="1165" t="s">
        <v>2378</v>
      </c>
      <c r="B549" s="1041"/>
      <c r="C549" s="1050">
        <v>0</v>
      </c>
      <c r="D549" s="1052">
        <v>0</v>
      </c>
      <c r="E549" s="1052">
        <v>0</v>
      </c>
      <c r="F549" s="1052">
        <v>0</v>
      </c>
      <c r="G549" s="1048">
        <v>0</v>
      </c>
      <c r="H549" s="1048">
        <f t="shared" si="74"/>
        <v>0</v>
      </c>
      <c r="I549" s="1052">
        <v>0</v>
      </c>
      <c r="J549" s="1048">
        <f t="shared" si="75"/>
        <v>0</v>
      </c>
      <c r="K549" s="1048">
        <f t="shared" si="76"/>
        <v>0</v>
      </c>
      <c r="L549" s="208"/>
      <c r="M549" s="209"/>
      <c r="N549" s="209"/>
      <c r="O549" s="209"/>
      <c r="P549" s="209"/>
      <c r="Q549" s="209"/>
      <c r="R549" s="209"/>
      <c r="S549" s="209"/>
      <c r="T549" s="209"/>
      <c r="U549" s="209"/>
      <c r="V549" s="209"/>
      <c r="W549" s="209"/>
    </row>
    <row r="550" spans="1:23" ht="11.25" customHeight="1" x14ac:dyDescent="0.25">
      <c r="A550" s="1165" t="s">
        <v>2379</v>
      </c>
      <c r="B550" s="1041"/>
      <c r="C550" s="1050">
        <v>0</v>
      </c>
      <c r="D550" s="1052">
        <v>14679</v>
      </c>
      <c r="E550" s="1052">
        <v>22236</v>
      </c>
      <c r="F550" s="1052">
        <v>22236</v>
      </c>
      <c r="G550" s="1048">
        <f>F550</f>
        <v>22236</v>
      </c>
      <c r="H550" s="1048">
        <f t="shared" si="74"/>
        <v>22236</v>
      </c>
      <c r="I550" s="1052">
        <v>22236</v>
      </c>
      <c r="J550" s="1048">
        <v>23547.923999999999</v>
      </c>
      <c r="K550" s="1048">
        <v>24866.607744000001</v>
      </c>
      <c r="L550" s="208"/>
      <c r="M550" s="209"/>
      <c r="N550" s="209"/>
      <c r="O550" s="209"/>
      <c r="P550" s="209"/>
      <c r="Q550" s="209"/>
      <c r="R550" s="209"/>
      <c r="S550" s="209"/>
      <c r="T550" s="209"/>
      <c r="U550" s="209"/>
      <c r="V550" s="209"/>
      <c r="W550" s="209"/>
    </row>
    <row r="551" spans="1:23" ht="11.25" customHeight="1" x14ac:dyDescent="0.25">
      <c r="A551" s="1165" t="s">
        <v>2380</v>
      </c>
      <c r="B551" s="1041"/>
      <c r="C551" s="1050">
        <v>0</v>
      </c>
      <c r="D551" s="1052">
        <v>47902.68</v>
      </c>
      <c r="E551" s="1052">
        <v>68579.7</v>
      </c>
      <c r="F551" s="1052">
        <v>69427</v>
      </c>
      <c r="G551" s="1048">
        <f>F551+13967</f>
        <v>83394</v>
      </c>
      <c r="H551" s="1048">
        <f t="shared" si="74"/>
        <v>83394</v>
      </c>
      <c r="I551" s="1052">
        <v>87747</v>
      </c>
      <c r="J551" s="1048">
        <v>92924.072999999989</v>
      </c>
      <c r="K551" s="1048">
        <v>98127.821087999997</v>
      </c>
      <c r="L551" s="208"/>
      <c r="M551" s="209"/>
      <c r="N551" s="209"/>
      <c r="O551" s="209"/>
      <c r="P551" s="209"/>
      <c r="Q551" s="209"/>
      <c r="R551" s="209"/>
      <c r="S551" s="209"/>
      <c r="T551" s="209"/>
      <c r="U551" s="209"/>
      <c r="V551" s="209"/>
      <c r="W551" s="209"/>
    </row>
    <row r="552" spans="1:23" ht="11.25" customHeight="1" x14ac:dyDescent="0.25">
      <c r="A552" s="1165" t="s">
        <v>2538</v>
      </c>
      <c r="B552" s="1041"/>
      <c r="C552" s="1050">
        <v>0</v>
      </c>
      <c r="D552" s="1050">
        <v>0</v>
      </c>
      <c r="E552" s="1050">
        <v>0</v>
      </c>
      <c r="F552" s="1052">
        <v>250000</v>
      </c>
      <c r="G552" s="1048">
        <f>F552+950000</f>
        <v>1200000</v>
      </c>
      <c r="H552" s="1048">
        <f t="shared" si="74"/>
        <v>1200000</v>
      </c>
      <c r="I552" s="1052">
        <v>0</v>
      </c>
      <c r="J552" s="1048">
        <f t="shared" si="75"/>
        <v>0</v>
      </c>
      <c r="K552" s="1048">
        <f t="shared" si="76"/>
        <v>0</v>
      </c>
      <c r="L552" s="208"/>
      <c r="M552" s="209"/>
      <c r="N552" s="209"/>
      <c r="O552" s="209"/>
      <c r="P552" s="209"/>
      <c r="Q552" s="209"/>
      <c r="R552" s="209"/>
      <c r="S552" s="209"/>
      <c r="T552" s="209"/>
      <c r="U552" s="209"/>
      <c r="V552" s="209"/>
      <c r="W552" s="209"/>
    </row>
    <row r="553" spans="1:23" ht="11.25" customHeight="1" x14ac:dyDescent="0.25">
      <c r="A553" s="1165" t="s">
        <v>2447</v>
      </c>
      <c r="B553" s="1041"/>
      <c r="C553" s="1050">
        <v>0</v>
      </c>
      <c r="D553" s="1052">
        <v>239000</v>
      </c>
      <c r="E553" s="1052">
        <v>300000</v>
      </c>
      <c r="F553" s="1052">
        <v>300000</v>
      </c>
      <c r="G553" s="1048">
        <f>F553</f>
        <v>300000</v>
      </c>
      <c r="H553" s="1048">
        <f t="shared" si="74"/>
        <v>300000</v>
      </c>
      <c r="I553" s="1052">
        <v>331488</v>
      </c>
      <c r="J553" s="1048">
        <v>351045.79199999996</v>
      </c>
      <c r="K553" s="1048">
        <v>370704.35635199997</v>
      </c>
      <c r="L553" s="208"/>
      <c r="M553" s="209"/>
      <c r="N553" s="209"/>
      <c r="O553" s="209"/>
      <c r="P553" s="209"/>
      <c r="Q553" s="209"/>
      <c r="R553" s="209"/>
      <c r="S553" s="209"/>
      <c r="T553" s="209"/>
      <c r="U553" s="209"/>
      <c r="V553" s="209"/>
      <c r="W553" s="209"/>
    </row>
    <row r="554" spans="1:23" ht="11.25" customHeight="1" x14ac:dyDescent="0.25">
      <c r="A554" s="1165" t="s">
        <v>2446</v>
      </c>
      <c r="B554" s="1041"/>
      <c r="C554" s="1050">
        <v>0</v>
      </c>
      <c r="D554" s="1052">
        <v>43600</v>
      </c>
      <c r="E554" s="1052">
        <v>18600</v>
      </c>
      <c r="F554" s="1052">
        <v>36000</v>
      </c>
      <c r="G554" s="1048">
        <f>F554+14000</f>
        <v>50000</v>
      </c>
      <c r="H554" s="1048">
        <f t="shared" si="74"/>
        <v>50000</v>
      </c>
      <c r="I554" s="1052">
        <v>42000</v>
      </c>
      <c r="J554" s="1048">
        <v>44478</v>
      </c>
      <c r="K554" s="1048">
        <v>46968.768000000004</v>
      </c>
      <c r="L554" s="208"/>
      <c r="M554" s="209"/>
      <c r="N554" s="209"/>
      <c r="O554" s="209"/>
      <c r="P554" s="209"/>
      <c r="Q554" s="209"/>
      <c r="R554" s="209"/>
      <c r="S554" s="209"/>
      <c r="T554" s="209"/>
      <c r="U554" s="209"/>
      <c r="V554" s="209"/>
      <c r="W554" s="209"/>
    </row>
    <row r="555" spans="1:23" ht="11.25" customHeight="1" x14ac:dyDescent="0.25">
      <c r="A555" s="1165" t="s">
        <v>2539</v>
      </c>
      <c r="B555" s="1041"/>
      <c r="C555" s="1050">
        <v>0</v>
      </c>
      <c r="D555" s="1050">
        <v>0</v>
      </c>
      <c r="E555" s="1050"/>
      <c r="F555" s="1052">
        <v>75000</v>
      </c>
      <c r="G555" s="1048">
        <f>F555+175000</f>
        <v>250000</v>
      </c>
      <c r="H555" s="1048">
        <f t="shared" si="74"/>
        <v>250000</v>
      </c>
      <c r="I555" s="1052">
        <v>264500</v>
      </c>
      <c r="J555" s="1048">
        <v>280105.5</v>
      </c>
      <c r="K555" s="1048">
        <v>295791.408</v>
      </c>
      <c r="L555" s="208"/>
      <c r="M555" s="209"/>
      <c r="N555" s="209"/>
      <c r="O555" s="209"/>
      <c r="P555" s="209"/>
      <c r="Q555" s="209"/>
      <c r="R555" s="209"/>
      <c r="S555" s="209"/>
      <c r="T555" s="209"/>
      <c r="U555" s="209"/>
      <c r="V555" s="209"/>
      <c r="W555" s="209"/>
    </row>
    <row r="556" spans="1:23" ht="11.25" customHeight="1" x14ac:dyDescent="0.25">
      <c r="A556" s="1165" t="s">
        <v>2385</v>
      </c>
      <c r="B556" s="1041"/>
      <c r="C556" s="1050">
        <v>0</v>
      </c>
      <c r="D556" s="1050">
        <v>0</v>
      </c>
      <c r="E556" s="1050"/>
      <c r="F556" s="1052">
        <v>50000</v>
      </c>
      <c r="G556" s="1048">
        <f>F556+33021</f>
        <v>83021</v>
      </c>
      <c r="H556" s="1048">
        <f t="shared" si="74"/>
        <v>83021</v>
      </c>
      <c r="I556" s="1048">
        <v>90000</v>
      </c>
      <c r="J556" s="1048">
        <v>95310</v>
      </c>
      <c r="K556" s="1048">
        <v>100647.36</v>
      </c>
      <c r="L556" s="208"/>
      <c r="M556" s="209"/>
      <c r="N556" s="209"/>
      <c r="O556" s="209"/>
      <c r="P556" s="209"/>
      <c r="Q556" s="209"/>
      <c r="R556" s="209"/>
      <c r="S556" s="209"/>
      <c r="T556" s="209"/>
      <c r="U556" s="209"/>
      <c r="V556" s="209"/>
      <c r="W556" s="209"/>
    </row>
    <row r="557" spans="1:23" ht="11.25" customHeight="1" x14ac:dyDescent="0.25">
      <c r="A557" s="1165" t="s">
        <v>2387</v>
      </c>
      <c r="B557" s="1041"/>
      <c r="C557" s="1050">
        <v>0</v>
      </c>
      <c r="D557" s="1050">
        <v>0</v>
      </c>
      <c r="E557" s="1052">
        <v>416116.11</v>
      </c>
      <c r="F557" s="1052">
        <v>0</v>
      </c>
      <c r="G557" s="1048">
        <v>0</v>
      </c>
      <c r="H557" s="1048">
        <f t="shared" si="74"/>
        <v>0</v>
      </c>
      <c r="I557" s="1052">
        <v>0</v>
      </c>
      <c r="J557" s="1048">
        <f t="shared" si="75"/>
        <v>0</v>
      </c>
      <c r="K557" s="1048">
        <f t="shared" si="76"/>
        <v>0</v>
      </c>
      <c r="L557" s="208"/>
      <c r="M557" s="209"/>
      <c r="N557" s="209"/>
      <c r="O557" s="209"/>
      <c r="P557" s="209"/>
      <c r="Q557" s="209"/>
      <c r="R557" s="209"/>
      <c r="S557" s="209"/>
      <c r="T557" s="209"/>
      <c r="U557" s="209"/>
      <c r="V557" s="209"/>
      <c r="W557" s="209"/>
    </row>
    <row r="558" spans="1:23" ht="11.25" customHeight="1" x14ac:dyDescent="0.25">
      <c r="A558" s="1165" t="s">
        <v>2388</v>
      </c>
      <c r="B558" s="1041"/>
      <c r="C558" s="1050">
        <v>0</v>
      </c>
      <c r="D558" s="1050">
        <v>0</v>
      </c>
      <c r="E558" s="1052"/>
      <c r="F558" s="1052">
        <v>0</v>
      </c>
      <c r="G558" s="1048">
        <v>0</v>
      </c>
      <c r="H558" s="1048">
        <f t="shared" si="74"/>
        <v>0</v>
      </c>
      <c r="I558" s="1052">
        <v>0</v>
      </c>
      <c r="J558" s="1048">
        <f t="shared" si="75"/>
        <v>0</v>
      </c>
      <c r="K558" s="1048">
        <f t="shared" si="76"/>
        <v>0</v>
      </c>
      <c r="L558" s="208"/>
      <c r="M558" s="209"/>
      <c r="N558" s="209"/>
      <c r="O558" s="209"/>
      <c r="P558" s="209"/>
      <c r="Q558" s="209"/>
      <c r="R558" s="209"/>
      <c r="S558" s="209"/>
      <c r="T558" s="209"/>
      <c r="U558" s="209"/>
      <c r="V558" s="209"/>
      <c r="W558" s="209"/>
    </row>
    <row r="559" spans="1:23" ht="11.25" customHeight="1" x14ac:dyDescent="0.25">
      <c r="A559" s="1165" t="s">
        <v>2390</v>
      </c>
      <c r="B559" s="1041"/>
      <c r="C559" s="1050">
        <v>0</v>
      </c>
      <c r="D559" s="1052">
        <v>165141.29999999999</v>
      </c>
      <c r="E559" s="1052">
        <v>1360093.31</v>
      </c>
      <c r="F559" s="1052">
        <v>750000</v>
      </c>
      <c r="G559" s="1048">
        <f>F559+-338859.95</f>
        <v>411140.05</v>
      </c>
      <c r="H559" s="1048">
        <f t="shared" si="74"/>
        <v>411140.05</v>
      </c>
      <c r="I559" s="1048">
        <v>1200000</v>
      </c>
      <c r="J559" s="1048">
        <f t="shared" si="75"/>
        <v>1270800</v>
      </c>
      <c r="K559" s="1048">
        <f t="shared" si="76"/>
        <v>1341964.8</v>
      </c>
      <c r="L559" s="208"/>
      <c r="M559" s="209"/>
      <c r="N559" s="209"/>
      <c r="O559" s="209"/>
      <c r="P559" s="209"/>
      <c r="Q559" s="209"/>
      <c r="R559" s="209"/>
      <c r="S559" s="209"/>
      <c r="T559" s="209"/>
      <c r="U559" s="209"/>
      <c r="V559" s="209"/>
      <c r="W559" s="209"/>
    </row>
    <row r="560" spans="1:23" ht="11.25" customHeight="1" x14ac:dyDescent="0.25">
      <c r="A560" s="1165" t="s">
        <v>2391</v>
      </c>
      <c r="B560" s="1041"/>
      <c r="C560" s="1050">
        <v>0</v>
      </c>
      <c r="D560" s="1052">
        <v>74256.53</v>
      </c>
      <c r="E560" s="1052">
        <v>95780.59</v>
      </c>
      <c r="F560" s="1052">
        <v>72000</v>
      </c>
      <c r="G560" s="1048">
        <f>F560+10999.75</f>
        <v>82999.75</v>
      </c>
      <c r="H560" s="1048">
        <f t="shared" si="74"/>
        <v>82999.75</v>
      </c>
      <c r="I560" s="1048">
        <v>87747</v>
      </c>
      <c r="J560" s="1048">
        <v>92924.072999999989</v>
      </c>
      <c r="K560" s="1048">
        <v>98127.821087999997</v>
      </c>
      <c r="L560" s="208"/>
      <c r="M560" s="209"/>
      <c r="N560" s="209"/>
      <c r="O560" s="209"/>
      <c r="P560" s="209"/>
      <c r="Q560" s="209"/>
      <c r="R560" s="209"/>
      <c r="S560" s="209"/>
      <c r="T560" s="209"/>
      <c r="U560" s="209"/>
      <c r="V560" s="209"/>
      <c r="W560" s="209"/>
    </row>
    <row r="561" spans="1:23" ht="11.25" customHeight="1" x14ac:dyDescent="0.25">
      <c r="A561" s="1165" t="s">
        <v>2540</v>
      </c>
      <c r="B561" s="1041"/>
      <c r="C561" s="1050">
        <v>0</v>
      </c>
      <c r="D561" s="1050">
        <v>0</v>
      </c>
      <c r="E561" s="1052">
        <v>372744.78</v>
      </c>
      <c r="F561" s="1052">
        <v>250000</v>
      </c>
      <c r="G561" s="1048">
        <f>F561+5746</f>
        <v>255746</v>
      </c>
      <c r="H561" s="1048">
        <f t="shared" si="74"/>
        <v>255746</v>
      </c>
      <c r="I561" s="1048">
        <v>300000</v>
      </c>
      <c r="J561" s="1048">
        <f t="shared" si="75"/>
        <v>317700</v>
      </c>
      <c r="K561" s="1048">
        <f t="shared" si="76"/>
        <v>335491.20000000001</v>
      </c>
      <c r="L561" s="208"/>
      <c r="M561" s="209"/>
      <c r="N561" s="209"/>
      <c r="O561" s="209"/>
      <c r="P561" s="209"/>
      <c r="Q561" s="209"/>
      <c r="R561" s="209"/>
      <c r="S561" s="209"/>
      <c r="T561" s="209"/>
      <c r="U561" s="209"/>
      <c r="V561" s="209"/>
      <c r="W561" s="209"/>
    </row>
    <row r="562" spans="1:23" ht="11.25" customHeight="1" x14ac:dyDescent="0.25">
      <c r="A562" s="1165" t="s">
        <v>2496</v>
      </c>
      <c r="B562" s="1041"/>
      <c r="C562" s="1050">
        <v>0</v>
      </c>
      <c r="D562" s="1050">
        <v>0</v>
      </c>
      <c r="E562" s="1052"/>
      <c r="F562" s="1052">
        <v>0</v>
      </c>
      <c r="G562" s="1048">
        <v>0</v>
      </c>
      <c r="H562" s="1048">
        <f t="shared" si="74"/>
        <v>0</v>
      </c>
      <c r="I562" s="1052">
        <v>0</v>
      </c>
      <c r="J562" s="1048">
        <f t="shared" si="75"/>
        <v>0</v>
      </c>
      <c r="K562" s="1048">
        <f t="shared" si="76"/>
        <v>0</v>
      </c>
      <c r="L562" s="208"/>
      <c r="M562" s="209"/>
      <c r="N562" s="209"/>
      <c r="O562" s="209"/>
      <c r="P562" s="209"/>
      <c r="Q562" s="209"/>
      <c r="R562" s="209"/>
      <c r="S562" s="209"/>
      <c r="T562" s="209"/>
      <c r="U562" s="209"/>
      <c r="V562" s="209"/>
      <c r="W562" s="209"/>
    </row>
    <row r="563" spans="1:23" ht="11.25" customHeight="1" x14ac:dyDescent="0.25">
      <c r="A563" s="1165" t="s">
        <v>2463</v>
      </c>
      <c r="B563" s="1041"/>
      <c r="C563" s="1050">
        <v>0</v>
      </c>
      <c r="D563" s="1052">
        <v>8999.98</v>
      </c>
      <c r="E563" s="1052"/>
      <c r="F563" s="1052">
        <v>0</v>
      </c>
      <c r="G563" s="1048">
        <v>0</v>
      </c>
      <c r="H563" s="1048">
        <f t="shared" si="74"/>
        <v>0</v>
      </c>
      <c r="I563" s="1052">
        <v>500000</v>
      </c>
      <c r="J563" s="1048">
        <f t="shared" si="75"/>
        <v>529500</v>
      </c>
      <c r="K563" s="1048">
        <f t="shared" si="76"/>
        <v>559152</v>
      </c>
      <c r="L563" s="208"/>
      <c r="M563" s="209"/>
      <c r="N563" s="209"/>
      <c r="O563" s="209"/>
      <c r="P563" s="209"/>
      <c r="Q563" s="209"/>
      <c r="R563" s="209"/>
      <c r="S563" s="209"/>
      <c r="T563" s="209"/>
      <c r="U563" s="209"/>
      <c r="V563" s="209"/>
      <c r="W563" s="209"/>
    </row>
    <row r="564" spans="1:23" ht="11.25" customHeight="1" x14ac:dyDescent="0.25">
      <c r="A564" s="1165" t="s">
        <v>2541</v>
      </c>
      <c r="B564" s="1041"/>
      <c r="C564" s="1050">
        <v>0</v>
      </c>
      <c r="D564" s="1052">
        <v>40060</v>
      </c>
      <c r="E564" s="1052">
        <v>6076</v>
      </c>
      <c r="F564" s="1052">
        <v>0</v>
      </c>
      <c r="G564" s="1048">
        <v>0</v>
      </c>
      <c r="H564" s="1048">
        <f t="shared" si="74"/>
        <v>0</v>
      </c>
      <c r="I564" s="1052">
        <v>0</v>
      </c>
      <c r="J564" s="1048">
        <f t="shared" si="75"/>
        <v>0</v>
      </c>
      <c r="K564" s="1048">
        <f t="shared" si="76"/>
        <v>0</v>
      </c>
      <c r="L564" s="208"/>
      <c r="M564" s="209"/>
      <c r="N564" s="209"/>
      <c r="O564" s="209"/>
      <c r="P564" s="209"/>
      <c r="Q564" s="209"/>
      <c r="R564" s="209"/>
      <c r="S564" s="209"/>
      <c r="T564" s="209"/>
      <c r="U564" s="209"/>
      <c r="V564" s="209"/>
      <c r="W564" s="209"/>
    </row>
    <row r="565" spans="1:23" ht="11.25" customHeight="1" x14ac:dyDescent="0.25">
      <c r="A565" s="1165" t="s">
        <v>2400</v>
      </c>
      <c r="B565" s="1041"/>
      <c r="C565" s="1050">
        <v>0</v>
      </c>
      <c r="D565" s="1052">
        <v>16452.169999999998</v>
      </c>
      <c r="E565" s="1052">
        <v>1596.29</v>
      </c>
      <c r="F565" s="1052">
        <v>0</v>
      </c>
      <c r="G565" s="1048">
        <v>0</v>
      </c>
      <c r="H565" s="1048">
        <f t="shared" si="74"/>
        <v>0</v>
      </c>
      <c r="I565" s="1052">
        <v>0</v>
      </c>
      <c r="J565" s="1048">
        <f t="shared" si="75"/>
        <v>0</v>
      </c>
      <c r="K565" s="1048">
        <f t="shared" si="76"/>
        <v>0</v>
      </c>
      <c r="L565" s="208"/>
      <c r="M565" s="209"/>
      <c r="N565" s="209"/>
      <c r="O565" s="209"/>
      <c r="P565" s="209"/>
      <c r="Q565" s="209"/>
      <c r="R565" s="209"/>
      <c r="S565" s="209"/>
      <c r="T565" s="209"/>
      <c r="U565" s="209"/>
      <c r="V565" s="209"/>
      <c r="W565" s="209"/>
    </row>
    <row r="566" spans="1:23" ht="11.25" customHeight="1" x14ac:dyDescent="0.25">
      <c r="A566" s="1165" t="s">
        <v>2407</v>
      </c>
      <c r="B566" s="1041"/>
      <c r="C566" s="1050">
        <v>0</v>
      </c>
      <c r="D566" s="1052">
        <v>737034.88</v>
      </c>
      <c r="E566" s="1052">
        <v>759980.87</v>
      </c>
      <c r="F566" s="1052">
        <v>1500000</v>
      </c>
      <c r="G566" s="1048">
        <f>F566+434515.91</f>
        <v>1934515.91</v>
      </c>
      <c r="H566" s="1048">
        <f t="shared" si="74"/>
        <v>1934515.91</v>
      </c>
      <c r="I566" s="1052">
        <v>400000</v>
      </c>
      <c r="J566" s="1048">
        <v>423600</v>
      </c>
      <c r="K566" s="1048">
        <v>447321.60000000003</v>
      </c>
      <c r="L566" s="208"/>
      <c r="M566" s="209"/>
      <c r="N566" s="209"/>
      <c r="O566" s="209"/>
      <c r="P566" s="209"/>
      <c r="Q566" s="209"/>
      <c r="R566" s="209"/>
      <c r="S566" s="209"/>
      <c r="T566" s="209"/>
      <c r="U566" s="209"/>
      <c r="V566" s="209"/>
      <c r="W566" s="209"/>
    </row>
    <row r="567" spans="1:23" ht="11.25" customHeight="1" x14ac:dyDescent="0.25">
      <c r="A567" s="1165" t="s">
        <v>2411</v>
      </c>
      <c r="B567" s="1041"/>
      <c r="C567" s="1050">
        <v>0</v>
      </c>
      <c r="D567" s="1052">
        <v>183370.82</v>
      </c>
      <c r="E567" s="1052"/>
      <c r="F567" s="1052">
        <v>0</v>
      </c>
      <c r="G567" s="1048">
        <v>0</v>
      </c>
      <c r="H567" s="1048">
        <f t="shared" si="74"/>
        <v>0</v>
      </c>
      <c r="I567" s="1052">
        <v>0</v>
      </c>
      <c r="J567" s="1048">
        <f t="shared" si="75"/>
        <v>0</v>
      </c>
      <c r="K567" s="1048">
        <f t="shared" si="76"/>
        <v>0</v>
      </c>
      <c r="L567" s="208"/>
      <c r="M567" s="209"/>
      <c r="N567" s="209"/>
      <c r="O567" s="209"/>
      <c r="P567" s="209"/>
      <c r="Q567" s="209"/>
      <c r="R567" s="209"/>
      <c r="S567" s="209"/>
      <c r="T567" s="209"/>
      <c r="U567" s="209"/>
      <c r="V567" s="209"/>
      <c r="W567" s="209"/>
    </row>
    <row r="568" spans="1:23" ht="11.25" customHeight="1" x14ac:dyDescent="0.25">
      <c r="A568" s="1165" t="s">
        <v>2542</v>
      </c>
      <c r="B568" s="1041"/>
      <c r="C568" s="1050">
        <v>0</v>
      </c>
      <c r="D568" s="1052">
        <v>88000.85</v>
      </c>
      <c r="E568" s="1052">
        <v>49615.4</v>
      </c>
      <c r="F568" s="1052"/>
      <c r="G568" s="1048">
        <v>0</v>
      </c>
      <c r="H568" s="1048">
        <f t="shared" si="74"/>
        <v>0</v>
      </c>
      <c r="I568" s="1052">
        <v>200000</v>
      </c>
      <c r="J568" s="1048">
        <v>211800</v>
      </c>
      <c r="K568" s="1048">
        <v>223660.80000000002</v>
      </c>
      <c r="L568" s="208"/>
      <c r="M568" s="209"/>
      <c r="N568" s="209"/>
      <c r="O568" s="209"/>
      <c r="P568" s="209"/>
      <c r="Q568" s="209"/>
      <c r="R568" s="209"/>
      <c r="S568" s="209"/>
      <c r="T568" s="209"/>
      <c r="U568" s="209"/>
      <c r="V568" s="209"/>
      <c r="W568" s="209"/>
    </row>
    <row r="569" spans="1:23" ht="11.25" customHeight="1" x14ac:dyDescent="0.25">
      <c r="A569" s="1165" t="s">
        <v>2513</v>
      </c>
      <c r="B569" s="1041"/>
      <c r="C569" s="1050">
        <v>0</v>
      </c>
      <c r="D569" s="1052">
        <v>133794.78</v>
      </c>
      <c r="E569" s="1052">
        <v>279707.84000000003</v>
      </c>
      <c r="F569" s="1052">
        <v>0</v>
      </c>
      <c r="G569" s="1048">
        <v>0</v>
      </c>
      <c r="H569" s="1048">
        <f t="shared" si="74"/>
        <v>0</v>
      </c>
      <c r="I569" s="1052">
        <v>150000</v>
      </c>
      <c r="J569" s="1048">
        <v>158850</v>
      </c>
      <c r="K569" s="1048">
        <v>167745.60000000001</v>
      </c>
      <c r="L569" s="208"/>
      <c r="M569" s="209"/>
      <c r="N569" s="209"/>
      <c r="O569" s="209"/>
      <c r="P569" s="209"/>
      <c r="Q569" s="209"/>
      <c r="R569" s="209"/>
      <c r="S569" s="209"/>
      <c r="T569" s="209"/>
      <c r="U569" s="209"/>
      <c r="V569" s="209"/>
      <c r="W569" s="209"/>
    </row>
    <row r="570" spans="1:23" ht="11.25" customHeight="1" x14ac:dyDescent="0.25">
      <c r="A570" s="1165" t="s">
        <v>2438</v>
      </c>
      <c r="B570" s="1041"/>
      <c r="C570" s="1050">
        <v>0</v>
      </c>
      <c r="D570" s="1052">
        <v>9810.7000000000007</v>
      </c>
      <c r="E570" s="1052">
        <v>7897.93</v>
      </c>
      <c r="F570" s="1052">
        <v>30000</v>
      </c>
      <c r="G570" s="1048">
        <f>F570+-17860.64</f>
        <v>12139.36</v>
      </c>
      <c r="H570" s="1048">
        <f t="shared" si="74"/>
        <v>12139.36</v>
      </c>
      <c r="I570" s="1048">
        <v>100000</v>
      </c>
      <c r="J570" s="1048">
        <f t="shared" si="75"/>
        <v>105900</v>
      </c>
      <c r="K570" s="1048">
        <f t="shared" si="76"/>
        <v>111830.40000000001</v>
      </c>
      <c r="L570" s="208"/>
      <c r="M570" s="209"/>
      <c r="N570" s="209"/>
      <c r="O570" s="209"/>
      <c r="P570" s="209"/>
      <c r="Q570" s="209"/>
      <c r="R570" s="209"/>
      <c r="S570" s="209"/>
      <c r="T570" s="209"/>
      <c r="U570" s="209"/>
      <c r="V570" s="209"/>
      <c r="W570" s="209"/>
    </row>
    <row r="571" spans="1:23" ht="11.25" customHeight="1" x14ac:dyDescent="0.25">
      <c r="A571" s="1165" t="s">
        <v>2543</v>
      </c>
      <c r="B571" s="1041"/>
      <c r="C571" s="1050">
        <v>0</v>
      </c>
      <c r="D571" s="1052">
        <v>450202.45</v>
      </c>
      <c r="E571" s="1052"/>
      <c r="F571" s="1052">
        <v>0</v>
      </c>
      <c r="G571" s="1048">
        <v>0</v>
      </c>
      <c r="H571" s="1048">
        <f t="shared" si="74"/>
        <v>0</v>
      </c>
      <c r="I571" s="1052">
        <v>0</v>
      </c>
      <c r="J571" s="1048">
        <f t="shared" si="75"/>
        <v>0</v>
      </c>
      <c r="K571" s="1048">
        <f t="shared" si="76"/>
        <v>0</v>
      </c>
      <c r="L571" s="208"/>
      <c r="M571" s="209"/>
      <c r="N571" s="209"/>
      <c r="O571" s="209"/>
      <c r="P571" s="209"/>
      <c r="Q571" s="209"/>
      <c r="R571" s="209"/>
      <c r="S571" s="209"/>
      <c r="T571" s="209"/>
      <c r="U571" s="209"/>
      <c r="V571" s="209"/>
      <c r="W571" s="209"/>
    </row>
    <row r="572" spans="1:23" ht="11.25" customHeight="1" x14ac:dyDescent="0.25">
      <c r="A572" s="1165" t="s">
        <v>2544</v>
      </c>
      <c r="B572" s="1041"/>
      <c r="C572" s="1050">
        <v>0</v>
      </c>
      <c r="D572" s="1052">
        <v>315095.61</v>
      </c>
      <c r="E572" s="1052"/>
      <c r="F572" s="1052">
        <v>0</v>
      </c>
      <c r="G572" s="1048">
        <v>0</v>
      </c>
      <c r="H572" s="1048">
        <f t="shared" si="74"/>
        <v>0</v>
      </c>
      <c r="I572" s="1052">
        <v>0</v>
      </c>
      <c r="J572" s="1048">
        <f t="shared" si="75"/>
        <v>0</v>
      </c>
      <c r="K572" s="1048">
        <f t="shared" si="76"/>
        <v>0</v>
      </c>
      <c r="L572" s="208"/>
      <c r="M572" s="209"/>
      <c r="N572" s="209"/>
      <c r="O572" s="209"/>
      <c r="P572" s="209"/>
      <c r="Q572" s="209"/>
      <c r="R572" s="209"/>
      <c r="S572" s="209"/>
      <c r="T572" s="209"/>
      <c r="U572" s="209"/>
      <c r="V572" s="209"/>
      <c r="W572" s="209"/>
    </row>
    <row r="573" spans="1:23" ht="11.25" customHeight="1" x14ac:dyDescent="0.25">
      <c r="A573" s="1165" t="s">
        <v>2545</v>
      </c>
      <c r="B573" s="1041"/>
      <c r="C573" s="1050">
        <v>0</v>
      </c>
      <c r="D573" s="1052">
        <v>116650</v>
      </c>
      <c r="E573" s="1052"/>
      <c r="F573" s="1052">
        <v>0</v>
      </c>
      <c r="G573" s="1048">
        <v>0</v>
      </c>
      <c r="H573" s="1048">
        <f t="shared" si="74"/>
        <v>0</v>
      </c>
      <c r="I573" s="1052">
        <v>0</v>
      </c>
      <c r="J573" s="1048">
        <f t="shared" si="75"/>
        <v>0</v>
      </c>
      <c r="K573" s="1048">
        <f t="shared" si="76"/>
        <v>0</v>
      </c>
      <c r="L573" s="208"/>
      <c r="M573" s="209"/>
      <c r="N573" s="209"/>
      <c r="O573" s="209"/>
      <c r="P573" s="209"/>
      <c r="Q573" s="209"/>
      <c r="R573" s="209"/>
      <c r="S573" s="209"/>
      <c r="T573" s="209"/>
      <c r="U573" s="209"/>
      <c r="V573" s="209"/>
      <c r="W573" s="209"/>
    </row>
    <row r="574" spans="1:23" ht="11.25" customHeight="1" x14ac:dyDescent="0.25">
      <c r="A574" s="1165" t="s">
        <v>2546</v>
      </c>
      <c r="B574" s="1041"/>
      <c r="C574" s="1050">
        <v>0</v>
      </c>
      <c r="D574" s="1052"/>
      <c r="E574" s="1052"/>
      <c r="F574" s="1052">
        <v>0</v>
      </c>
      <c r="G574" s="1048">
        <v>0</v>
      </c>
      <c r="H574" s="1048">
        <f t="shared" si="74"/>
        <v>0</v>
      </c>
      <c r="I574" s="1052">
        <v>0</v>
      </c>
      <c r="J574" s="1048">
        <f t="shared" si="75"/>
        <v>0</v>
      </c>
      <c r="K574" s="1048">
        <f t="shared" si="76"/>
        <v>0</v>
      </c>
      <c r="L574" s="208"/>
      <c r="M574" s="209"/>
      <c r="N574" s="209"/>
      <c r="O574" s="209"/>
      <c r="P574" s="209"/>
      <c r="Q574" s="209"/>
      <c r="R574" s="209"/>
      <c r="S574" s="209"/>
      <c r="T574" s="209"/>
      <c r="U574" s="209"/>
      <c r="V574" s="209"/>
      <c r="W574" s="209"/>
    </row>
    <row r="575" spans="1:23" ht="11.25" customHeight="1" x14ac:dyDescent="0.25">
      <c r="A575" s="1165" t="s">
        <v>2547</v>
      </c>
      <c r="B575" s="1041"/>
      <c r="C575" s="1050">
        <v>0</v>
      </c>
      <c r="D575" s="1052">
        <v>168190.81</v>
      </c>
      <c r="E575" s="1052">
        <v>67122.720000000001</v>
      </c>
      <c r="F575" s="1052">
        <v>100000</v>
      </c>
      <c r="G575" s="1048">
        <f>F575+-100000</f>
        <v>0</v>
      </c>
      <c r="H575" s="1048">
        <f t="shared" si="74"/>
        <v>0</v>
      </c>
      <c r="I575" s="1048">
        <v>250000</v>
      </c>
      <c r="J575" s="1048">
        <f t="shared" si="75"/>
        <v>264750</v>
      </c>
      <c r="K575" s="1048">
        <f t="shared" si="76"/>
        <v>279576</v>
      </c>
      <c r="L575" s="208"/>
      <c r="M575" s="209"/>
      <c r="N575" s="209"/>
      <c r="O575" s="209"/>
      <c r="P575" s="209"/>
      <c r="Q575" s="209"/>
      <c r="R575" s="209"/>
      <c r="S575" s="209"/>
      <c r="T575" s="209"/>
      <c r="U575" s="209"/>
      <c r="V575" s="209"/>
      <c r="W575" s="209"/>
    </row>
    <row r="576" spans="1:23" ht="11.25" customHeight="1" x14ac:dyDescent="0.25">
      <c r="A576" s="1165" t="s">
        <v>2467</v>
      </c>
      <c r="B576" s="1041"/>
      <c r="C576" s="1050">
        <v>0</v>
      </c>
      <c r="D576" s="1052">
        <v>330065.18</v>
      </c>
      <c r="E576" s="1052">
        <v>173521.74</v>
      </c>
      <c r="F576" s="1052">
        <v>349836</v>
      </c>
      <c r="G576" s="1048">
        <f>F576+3736.3</f>
        <v>353572.3</v>
      </c>
      <c r="H576" s="1048">
        <f t="shared" si="74"/>
        <v>353572.3</v>
      </c>
      <c r="I576" s="1048">
        <v>1000000</v>
      </c>
      <c r="J576" s="1048">
        <f t="shared" si="75"/>
        <v>1059000</v>
      </c>
      <c r="K576" s="1048">
        <f t="shared" si="76"/>
        <v>1118304</v>
      </c>
      <c r="L576" s="208"/>
      <c r="M576" s="209"/>
      <c r="N576" s="209"/>
      <c r="O576" s="209"/>
      <c r="P576" s="209"/>
      <c r="Q576" s="209"/>
      <c r="R576" s="209"/>
      <c r="S576" s="209"/>
      <c r="T576" s="209"/>
      <c r="U576" s="209"/>
      <c r="V576" s="209"/>
      <c r="W576" s="209"/>
    </row>
    <row r="577" spans="1:23" ht="11.25" customHeight="1" x14ac:dyDescent="0.25">
      <c r="A577" s="1165" t="s">
        <v>2548</v>
      </c>
      <c r="B577" s="1041"/>
      <c r="C577" s="1050">
        <v>0</v>
      </c>
      <c r="D577" s="1052">
        <v>15460.95</v>
      </c>
      <c r="E577" s="1052">
        <v>10951.75</v>
      </c>
      <c r="F577" s="1052">
        <v>50000</v>
      </c>
      <c r="G577" s="1048">
        <f>F577+25950.34</f>
        <v>75950.34</v>
      </c>
      <c r="H577" s="1048">
        <f t="shared" si="74"/>
        <v>75950.34</v>
      </c>
      <c r="I577" s="1052">
        <v>250000</v>
      </c>
      <c r="J577" s="1048">
        <f t="shared" si="75"/>
        <v>264750</v>
      </c>
      <c r="K577" s="1048">
        <f t="shared" si="76"/>
        <v>279576</v>
      </c>
      <c r="L577" s="208"/>
      <c r="M577" s="209"/>
      <c r="N577" s="209"/>
      <c r="O577" s="209"/>
      <c r="P577" s="209"/>
      <c r="Q577" s="209"/>
      <c r="R577" s="209"/>
      <c r="S577" s="209"/>
      <c r="T577" s="209"/>
      <c r="U577" s="209"/>
      <c r="V577" s="209"/>
      <c r="W577" s="209"/>
    </row>
    <row r="578" spans="1:23" ht="11.25" customHeight="1" x14ac:dyDescent="0.25">
      <c r="A578" s="1165" t="s">
        <v>2549</v>
      </c>
      <c r="B578" s="1041"/>
      <c r="C578" s="1050">
        <v>0</v>
      </c>
      <c r="D578" s="1050">
        <v>0</v>
      </c>
      <c r="E578" s="1052">
        <v>110185.9</v>
      </c>
      <c r="F578" s="1052">
        <v>100000</v>
      </c>
      <c r="G578" s="1048">
        <f>F578+-61000</f>
        <v>39000</v>
      </c>
      <c r="H578" s="1048">
        <f t="shared" si="74"/>
        <v>39000</v>
      </c>
      <c r="I578" s="1052">
        <v>90000</v>
      </c>
      <c r="J578" s="1048">
        <f t="shared" si="75"/>
        <v>95310</v>
      </c>
      <c r="K578" s="1048">
        <f t="shared" si="76"/>
        <v>100647.36</v>
      </c>
      <c r="L578" s="208"/>
      <c r="M578" s="209"/>
      <c r="N578" s="209"/>
      <c r="O578" s="209"/>
      <c r="P578" s="209"/>
      <c r="Q578" s="209"/>
      <c r="R578" s="209"/>
      <c r="S578" s="209"/>
      <c r="T578" s="209"/>
      <c r="U578" s="209"/>
      <c r="V578" s="209"/>
      <c r="W578" s="209"/>
    </row>
    <row r="579" spans="1:23" ht="11.25" customHeight="1" x14ac:dyDescent="0.25">
      <c r="A579" s="1165" t="s">
        <v>2550</v>
      </c>
      <c r="B579" s="1041"/>
      <c r="C579" s="1050">
        <v>0</v>
      </c>
      <c r="D579" s="1052">
        <v>256500</v>
      </c>
      <c r="E579" s="1052">
        <v>260470.6</v>
      </c>
      <c r="F579" s="1052">
        <v>0</v>
      </c>
      <c r="G579" s="1048">
        <v>0</v>
      </c>
      <c r="H579" s="1048">
        <f t="shared" si="74"/>
        <v>0</v>
      </c>
      <c r="I579" s="1052">
        <v>0</v>
      </c>
      <c r="J579" s="1048">
        <f t="shared" si="75"/>
        <v>0</v>
      </c>
      <c r="K579" s="1048">
        <f t="shared" si="76"/>
        <v>0</v>
      </c>
      <c r="L579" s="208"/>
      <c r="M579" s="209"/>
      <c r="N579" s="209"/>
      <c r="O579" s="209"/>
      <c r="P579" s="209"/>
      <c r="Q579" s="209"/>
      <c r="R579" s="209"/>
      <c r="S579" s="209"/>
      <c r="T579" s="209"/>
      <c r="U579" s="209"/>
      <c r="V579" s="209"/>
      <c r="W579" s="209"/>
    </row>
    <row r="580" spans="1:23" ht="11.25" customHeight="1" x14ac:dyDescent="0.25">
      <c r="A580" s="1165" t="s">
        <v>2551</v>
      </c>
      <c r="B580" s="1041"/>
      <c r="C580" s="1050">
        <v>0</v>
      </c>
      <c r="D580" s="1050">
        <v>0</v>
      </c>
      <c r="E580" s="1052"/>
      <c r="F580" s="1052">
        <v>0</v>
      </c>
      <c r="G580" s="1048">
        <v>0</v>
      </c>
      <c r="H580" s="1048">
        <f t="shared" si="74"/>
        <v>0</v>
      </c>
      <c r="I580" s="1052">
        <v>0</v>
      </c>
      <c r="J580" s="1048">
        <f t="shared" si="75"/>
        <v>0</v>
      </c>
      <c r="K580" s="1048">
        <f t="shared" si="76"/>
        <v>0</v>
      </c>
      <c r="L580" s="208"/>
      <c r="M580" s="209"/>
      <c r="N580" s="209"/>
      <c r="O580" s="209"/>
      <c r="P580" s="209"/>
      <c r="Q580" s="209"/>
      <c r="R580" s="209"/>
      <c r="S580" s="209"/>
      <c r="T580" s="209"/>
      <c r="U580" s="209"/>
      <c r="V580" s="209"/>
      <c r="W580" s="209"/>
    </row>
    <row r="581" spans="1:23" ht="11.25" customHeight="1" x14ac:dyDescent="0.25">
      <c r="A581" s="1165" t="s">
        <v>2519</v>
      </c>
      <c r="B581" s="1041"/>
      <c r="C581" s="1050">
        <v>0</v>
      </c>
      <c r="D581" s="1050">
        <v>0</v>
      </c>
      <c r="E581" s="1052">
        <v>5891607.2199999997</v>
      </c>
      <c r="F581" s="1052">
        <v>1000000</v>
      </c>
      <c r="G581" s="1048">
        <f>F581+-158897.33</f>
        <v>841102.67</v>
      </c>
      <c r="H581" s="1048">
        <f t="shared" si="74"/>
        <v>841102.67</v>
      </c>
      <c r="I581" s="1048">
        <v>2000000</v>
      </c>
      <c r="J581" s="1048">
        <f t="shared" si="75"/>
        <v>2118000</v>
      </c>
      <c r="K581" s="1048">
        <f t="shared" si="76"/>
        <v>2236608</v>
      </c>
      <c r="L581" s="208"/>
      <c r="M581" s="209"/>
      <c r="N581" s="209"/>
      <c r="O581" s="209"/>
      <c r="P581" s="209"/>
      <c r="Q581" s="209"/>
      <c r="R581" s="209"/>
      <c r="S581" s="209"/>
      <c r="T581" s="209"/>
      <c r="U581" s="209"/>
      <c r="V581" s="209"/>
      <c r="W581" s="209"/>
    </row>
    <row r="582" spans="1:23" ht="11.25" customHeight="1" x14ac:dyDescent="0.25">
      <c r="A582" s="1165" t="s">
        <v>2389</v>
      </c>
      <c r="B582" s="1041"/>
      <c r="C582" s="1050">
        <v>0</v>
      </c>
      <c r="D582" s="1050">
        <v>0</v>
      </c>
      <c r="E582" s="1052">
        <v>8118355.3399999999</v>
      </c>
      <c r="F582" s="1052">
        <v>3400000</v>
      </c>
      <c r="G582" s="1048">
        <f>F582+904503</f>
        <v>4304503</v>
      </c>
      <c r="H582" s="1048">
        <f t="shared" si="74"/>
        <v>4304503</v>
      </c>
      <c r="I582" s="1048">
        <v>3500000</v>
      </c>
      <c r="J582" s="1048">
        <f t="shared" si="75"/>
        <v>3706500</v>
      </c>
      <c r="K582" s="1048">
        <f t="shared" si="76"/>
        <v>3914064</v>
      </c>
      <c r="L582" s="208"/>
      <c r="M582" s="209"/>
      <c r="N582" s="209"/>
      <c r="O582" s="209"/>
      <c r="P582" s="209"/>
      <c r="Q582" s="209"/>
      <c r="R582" s="209"/>
      <c r="S582" s="209"/>
      <c r="T582" s="209"/>
      <c r="U582" s="209"/>
      <c r="V582" s="209"/>
      <c r="W582" s="209"/>
    </row>
    <row r="583" spans="1:23" ht="11.25" customHeight="1" x14ac:dyDescent="0.25">
      <c r="A583" s="1165" t="s">
        <v>2552</v>
      </c>
      <c r="B583" s="1041"/>
      <c r="C583" s="1050">
        <v>0</v>
      </c>
      <c r="D583" s="1050">
        <v>0</v>
      </c>
      <c r="E583" s="1052">
        <v>49981.97</v>
      </c>
      <c r="F583" s="1052">
        <v>20000</v>
      </c>
      <c r="G583" s="1048">
        <f>F583+-20000</f>
        <v>0</v>
      </c>
      <c r="H583" s="1048">
        <f t="shared" si="74"/>
        <v>0</v>
      </c>
      <c r="I583" s="1052">
        <v>0</v>
      </c>
      <c r="J583" s="1048">
        <f t="shared" si="75"/>
        <v>0</v>
      </c>
      <c r="K583" s="1048">
        <f t="shared" si="76"/>
        <v>0</v>
      </c>
      <c r="L583" s="208"/>
      <c r="M583" s="209"/>
      <c r="N583" s="209"/>
      <c r="O583" s="209"/>
      <c r="P583" s="209"/>
      <c r="Q583" s="209"/>
      <c r="R583" s="209"/>
      <c r="S583" s="209"/>
      <c r="T583" s="209"/>
      <c r="U583" s="209"/>
      <c r="V583" s="209"/>
      <c r="W583" s="209"/>
    </row>
    <row r="584" spans="1:23" ht="11.25" customHeight="1" x14ac:dyDescent="0.25">
      <c r="A584" s="1165" t="s">
        <v>2553</v>
      </c>
      <c r="B584" s="1041"/>
      <c r="C584" s="1050">
        <v>0</v>
      </c>
      <c r="D584" s="1050">
        <v>0</v>
      </c>
      <c r="E584" s="1052">
        <v>16678.04</v>
      </c>
      <c r="F584" s="1052">
        <v>0</v>
      </c>
      <c r="G584" s="1048">
        <v>0</v>
      </c>
      <c r="H584" s="1048">
        <f t="shared" si="74"/>
        <v>0</v>
      </c>
      <c r="I584" s="1048"/>
      <c r="J584" s="1048">
        <f t="shared" si="75"/>
        <v>0</v>
      </c>
      <c r="K584" s="1048">
        <f t="shared" si="76"/>
        <v>0</v>
      </c>
      <c r="L584" s="208"/>
      <c r="M584" s="209"/>
      <c r="N584" s="209"/>
      <c r="O584" s="209"/>
      <c r="P584" s="209"/>
      <c r="Q584" s="209"/>
      <c r="R584" s="209"/>
      <c r="S584" s="209"/>
      <c r="T584" s="209"/>
      <c r="U584" s="209"/>
      <c r="V584" s="209"/>
      <c r="W584" s="209"/>
    </row>
    <row r="585" spans="1:23" ht="11.25" customHeight="1" x14ac:dyDescent="0.25">
      <c r="A585" s="1165" t="s">
        <v>2554</v>
      </c>
      <c r="B585" s="1041"/>
      <c r="C585" s="1050">
        <v>0</v>
      </c>
      <c r="D585" s="1050">
        <v>198127.22</v>
      </c>
      <c r="E585" s="1052">
        <v>2701898.98</v>
      </c>
      <c r="F585" s="1052">
        <v>750000</v>
      </c>
      <c r="G585" s="1048">
        <f>F585+650192.37</f>
        <v>1400192.37</v>
      </c>
      <c r="H585" s="1048">
        <f t="shared" si="74"/>
        <v>1400192.37</v>
      </c>
      <c r="I585" s="1048">
        <v>1500000</v>
      </c>
      <c r="J585" s="1048">
        <f t="shared" si="75"/>
        <v>1588500</v>
      </c>
      <c r="K585" s="1048">
        <f t="shared" si="76"/>
        <v>1677456</v>
      </c>
      <c r="L585" s="208"/>
      <c r="M585" s="209"/>
      <c r="N585" s="209"/>
      <c r="O585" s="209"/>
      <c r="P585" s="209"/>
      <c r="Q585" s="209"/>
      <c r="R585" s="209"/>
      <c r="S585" s="209"/>
      <c r="T585" s="209"/>
      <c r="U585" s="209"/>
      <c r="V585" s="209"/>
      <c r="W585" s="209"/>
    </row>
    <row r="586" spans="1:23" ht="11.25" customHeight="1" x14ac:dyDescent="0.25">
      <c r="A586" s="1165" t="s">
        <v>2555</v>
      </c>
      <c r="B586" s="1041"/>
      <c r="C586" s="1050">
        <v>0</v>
      </c>
      <c r="D586" s="1049">
        <v>0</v>
      </c>
      <c r="E586" s="1050">
        <v>807774.22</v>
      </c>
      <c r="F586" s="1052">
        <v>0</v>
      </c>
      <c r="G586" s="1048">
        <v>0</v>
      </c>
      <c r="H586" s="1048">
        <f t="shared" si="74"/>
        <v>0</v>
      </c>
      <c r="I586" s="1052">
        <v>0</v>
      </c>
      <c r="J586" s="1048">
        <f t="shared" si="75"/>
        <v>0</v>
      </c>
      <c r="K586" s="1048">
        <f t="shared" si="76"/>
        <v>0</v>
      </c>
      <c r="L586" s="208"/>
      <c r="M586" s="209"/>
      <c r="N586" s="209"/>
      <c r="O586" s="209"/>
      <c r="P586" s="209"/>
      <c r="Q586" s="209"/>
      <c r="R586" s="209"/>
      <c r="S586" s="209"/>
      <c r="T586" s="209"/>
      <c r="U586" s="209"/>
      <c r="V586" s="209"/>
      <c r="W586" s="209"/>
    </row>
    <row r="587" spans="1:23" ht="11.25" customHeight="1" x14ac:dyDescent="0.25">
      <c r="A587" s="1165" t="s">
        <v>2556</v>
      </c>
      <c r="B587" s="1041"/>
      <c r="C587" s="1050">
        <v>0</v>
      </c>
      <c r="D587" s="1049">
        <v>0</v>
      </c>
      <c r="E587" s="1050">
        <v>228200</v>
      </c>
      <c r="F587" s="1052">
        <v>300000</v>
      </c>
      <c r="G587" s="1048">
        <f>F587+-300000</f>
        <v>0</v>
      </c>
      <c r="H587" s="1048">
        <f t="shared" si="74"/>
        <v>0</v>
      </c>
      <c r="I587" s="1052">
        <v>0</v>
      </c>
      <c r="J587" s="1048">
        <f t="shared" si="75"/>
        <v>0</v>
      </c>
      <c r="K587" s="1048">
        <f t="shared" si="76"/>
        <v>0</v>
      </c>
      <c r="L587" s="208"/>
      <c r="M587" s="209"/>
      <c r="N587" s="209"/>
      <c r="O587" s="209"/>
      <c r="P587" s="209"/>
      <c r="Q587" s="209"/>
      <c r="R587" s="209"/>
      <c r="S587" s="209"/>
      <c r="T587" s="209"/>
      <c r="U587" s="209"/>
      <c r="V587" s="209"/>
      <c r="W587" s="209"/>
    </row>
    <row r="588" spans="1:23" ht="11.25" customHeight="1" x14ac:dyDescent="0.25">
      <c r="A588" s="1165"/>
      <c r="B588" s="1041"/>
      <c r="C588" s="1050">
        <v>0</v>
      </c>
      <c r="D588" s="1048"/>
      <c r="E588" s="1049"/>
      <c r="F588" s="1050"/>
      <c r="G588" s="1048"/>
      <c r="H588" s="1051"/>
      <c r="I588" s="1052"/>
      <c r="J588" s="1048"/>
      <c r="K588" s="2677"/>
      <c r="L588" s="208"/>
      <c r="M588" s="209"/>
      <c r="N588" s="209"/>
      <c r="O588" s="209"/>
      <c r="P588" s="209"/>
      <c r="Q588" s="209"/>
      <c r="R588" s="209"/>
      <c r="S588" s="209"/>
      <c r="T588" s="209"/>
      <c r="U588" s="209"/>
      <c r="V588" s="209"/>
      <c r="W588" s="209"/>
    </row>
    <row r="589" spans="1:23" ht="11.25" customHeight="1" x14ac:dyDescent="0.25">
      <c r="A589" s="1165">
        <f>A118</f>
        <v>0</v>
      </c>
      <c r="B589" s="1041"/>
      <c r="C589" s="1048"/>
      <c r="D589" s="1048"/>
      <c r="E589" s="1049"/>
      <c r="F589" s="1050"/>
      <c r="G589" s="1048"/>
      <c r="H589" s="1051"/>
      <c r="I589" s="1052"/>
      <c r="J589" s="1048"/>
      <c r="K589" s="2677"/>
      <c r="L589" s="208"/>
      <c r="M589" s="209"/>
      <c r="N589" s="209"/>
      <c r="O589" s="209"/>
      <c r="P589" s="209"/>
      <c r="Q589" s="209"/>
      <c r="R589" s="209"/>
      <c r="S589" s="209"/>
      <c r="T589" s="209"/>
      <c r="U589" s="209"/>
      <c r="V589" s="209"/>
      <c r="W589" s="209"/>
    </row>
    <row r="590" spans="1:23" ht="11.25" customHeight="1" x14ac:dyDescent="0.25">
      <c r="A590" s="1165">
        <f>A119</f>
        <v>0</v>
      </c>
      <c r="B590" s="1041"/>
      <c r="C590" s="1048"/>
      <c r="D590" s="1048"/>
      <c r="E590" s="1049"/>
      <c r="F590" s="1050"/>
      <c r="G590" s="1048"/>
      <c r="H590" s="1051"/>
      <c r="I590" s="1052"/>
      <c r="J590" s="1048"/>
      <c r="K590" s="2677"/>
      <c r="L590" s="208"/>
      <c r="M590" s="209"/>
      <c r="N590" s="209"/>
      <c r="O590" s="209"/>
      <c r="P590" s="209"/>
      <c r="Q590" s="209"/>
      <c r="R590" s="209"/>
      <c r="S590" s="209"/>
      <c r="T590" s="209"/>
      <c r="U590" s="209"/>
      <c r="V590" s="209"/>
      <c r="W590" s="209"/>
    </row>
    <row r="591" spans="1:23" ht="15" customHeight="1" x14ac:dyDescent="0.25">
      <c r="A591" s="1164" t="str">
        <f>A120</f>
        <v>Vote 13 - 107 COMMUNITY SERVICES</v>
      </c>
      <c r="B591" s="1041"/>
      <c r="C591" s="971">
        <f t="shared" ref="C591:K591" si="77">SUM(C592:C660)</f>
        <v>0</v>
      </c>
      <c r="D591" s="971">
        <f t="shared" si="77"/>
        <v>26800947.700000003</v>
      </c>
      <c r="E591" s="972">
        <f t="shared" si="77"/>
        <v>37698030.330000006</v>
      </c>
      <c r="F591" s="973">
        <f t="shared" si="77"/>
        <v>29692590</v>
      </c>
      <c r="G591" s="971">
        <f t="shared" si="77"/>
        <v>30409911</v>
      </c>
      <c r="H591" s="974">
        <f t="shared" si="77"/>
        <v>30409911</v>
      </c>
      <c r="I591" s="975">
        <f t="shared" si="77"/>
        <v>6244531</v>
      </c>
      <c r="J591" s="971">
        <f t="shared" si="77"/>
        <v>6612958.3289999999</v>
      </c>
      <c r="K591" s="971">
        <f t="shared" si="77"/>
        <v>6983283.9954239996</v>
      </c>
      <c r="L591" s="208"/>
      <c r="M591" s="209"/>
      <c r="N591" s="209"/>
      <c r="O591" s="209"/>
      <c r="P591" s="209"/>
      <c r="Q591" s="209"/>
      <c r="R591" s="209"/>
      <c r="S591" s="209"/>
      <c r="T591" s="209"/>
      <c r="U591" s="209"/>
      <c r="V591" s="209"/>
      <c r="W591" s="209"/>
    </row>
    <row r="592" spans="1:23" ht="11.25" customHeight="1" x14ac:dyDescent="0.25">
      <c r="A592" s="1165" t="s">
        <v>2375</v>
      </c>
      <c r="B592" s="1041"/>
      <c r="C592" s="1050">
        <v>0</v>
      </c>
      <c r="D592" s="1052">
        <v>9296166.3699999992</v>
      </c>
      <c r="E592" s="1052">
        <v>16335692.050000001</v>
      </c>
      <c r="F592" s="1052">
        <v>17829958</v>
      </c>
      <c r="G592" s="1048">
        <f>F592+-729958</f>
        <v>17100000</v>
      </c>
      <c r="H592" s="1048">
        <f>G592</f>
        <v>17100000</v>
      </c>
      <c r="I592" s="1052">
        <v>3934706</v>
      </c>
      <c r="J592" s="1048">
        <v>4166853.6539999996</v>
      </c>
      <c r="K592" s="1048">
        <v>4400197.4586239997</v>
      </c>
      <c r="L592" s="208"/>
      <c r="M592" s="209"/>
      <c r="N592" s="209"/>
      <c r="O592" s="209"/>
      <c r="P592" s="209"/>
      <c r="Q592" s="209"/>
      <c r="R592" s="209"/>
      <c r="S592" s="209"/>
      <c r="T592" s="209"/>
      <c r="U592" s="209"/>
      <c r="V592" s="209"/>
      <c r="W592" s="209"/>
    </row>
    <row r="593" spans="1:23" ht="11.25" customHeight="1" x14ac:dyDescent="0.25">
      <c r="A593" s="1165" t="s">
        <v>2432</v>
      </c>
      <c r="B593" s="1041"/>
      <c r="C593" s="1050">
        <v>0</v>
      </c>
      <c r="D593" s="1052">
        <v>445292.89</v>
      </c>
      <c r="E593" s="1052">
        <v>1278273.95</v>
      </c>
      <c r="F593" s="1052">
        <v>1485829</v>
      </c>
      <c r="G593" s="1048">
        <f>F593+-219829</f>
        <v>1266000</v>
      </c>
      <c r="H593" s="1048">
        <f t="shared" ref="H593:H654" si="78">G593</f>
        <v>1266000</v>
      </c>
      <c r="I593" s="1052">
        <v>367960</v>
      </c>
      <c r="J593" s="1048">
        <v>389669.63999999996</v>
      </c>
      <c r="K593" s="1048">
        <v>411491.13983999996</v>
      </c>
      <c r="L593" s="208"/>
      <c r="M593" s="209"/>
      <c r="N593" s="209"/>
      <c r="O593" s="209"/>
      <c r="P593" s="209"/>
      <c r="Q593" s="209"/>
      <c r="R593" s="209"/>
      <c r="S593" s="209"/>
      <c r="T593" s="209"/>
      <c r="U593" s="209"/>
      <c r="V593" s="209"/>
      <c r="W593" s="209"/>
    </row>
    <row r="594" spans="1:23" ht="11.25" customHeight="1" x14ac:dyDescent="0.25">
      <c r="A594" s="1165" t="s">
        <v>2457</v>
      </c>
      <c r="B594" s="1041"/>
      <c r="C594" s="1050">
        <v>0</v>
      </c>
      <c r="D594" s="1052">
        <v>4603.1499999999996</v>
      </c>
      <c r="E594" s="1052">
        <v>8611.77</v>
      </c>
      <c r="F594" s="1052">
        <v>3100</v>
      </c>
      <c r="G594" s="1048">
        <f>F594+6050</f>
        <v>9150</v>
      </c>
      <c r="H594" s="1048">
        <f t="shared" si="78"/>
        <v>9150</v>
      </c>
      <c r="I594" s="1052">
        <v>1305</v>
      </c>
      <c r="J594" s="1048">
        <v>1381.9949999999999</v>
      </c>
      <c r="K594" s="1048">
        <v>1459.38672</v>
      </c>
      <c r="L594" s="208"/>
      <c r="M594" s="209"/>
      <c r="N594" s="209"/>
      <c r="O594" s="209"/>
      <c r="P594" s="209"/>
      <c r="Q594" s="209"/>
      <c r="R594" s="209"/>
      <c r="S594" s="209"/>
      <c r="T594" s="209"/>
      <c r="U594" s="209"/>
      <c r="V594" s="209"/>
      <c r="W594" s="209"/>
    </row>
    <row r="595" spans="1:23" ht="11.25" customHeight="1" x14ac:dyDescent="0.25">
      <c r="A595" s="1165" t="s">
        <v>2434</v>
      </c>
      <c r="B595" s="1041"/>
      <c r="C595" s="1050">
        <v>0</v>
      </c>
      <c r="D595" s="1052">
        <v>464163.39</v>
      </c>
      <c r="E595" s="1052">
        <v>226037.77</v>
      </c>
      <c r="F595" s="1052">
        <v>0</v>
      </c>
      <c r="G595" s="1048">
        <v>0</v>
      </c>
      <c r="H595" s="1048">
        <f t="shared" si="78"/>
        <v>0</v>
      </c>
      <c r="I595" s="1052">
        <v>70000</v>
      </c>
      <c r="J595" s="1048">
        <v>74130</v>
      </c>
      <c r="K595" s="1048">
        <v>78281.279999999999</v>
      </c>
      <c r="L595" s="208"/>
      <c r="M595" s="209"/>
      <c r="N595" s="209"/>
      <c r="O595" s="209"/>
      <c r="P595" s="209"/>
      <c r="Q595" s="209"/>
      <c r="R595" s="209"/>
      <c r="S595" s="209"/>
      <c r="T595" s="209"/>
      <c r="U595" s="209"/>
      <c r="V595" s="209"/>
      <c r="W595" s="209"/>
    </row>
    <row r="596" spans="1:23" ht="11.25" customHeight="1" x14ac:dyDescent="0.25">
      <c r="A596" s="1165" t="s">
        <v>2435</v>
      </c>
      <c r="B596" s="1041"/>
      <c r="C596" s="1050">
        <v>0</v>
      </c>
      <c r="D596" s="1052">
        <v>1097824.3400000001</v>
      </c>
      <c r="E596" s="1052">
        <v>1252916.53</v>
      </c>
      <c r="F596" s="1052">
        <v>0</v>
      </c>
      <c r="G596" s="1048">
        <v>100000</v>
      </c>
      <c r="H596" s="1048">
        <f t="shared" si="78"/>
        <v>100000</v>
      </c>
      <c r="I596" s="1052">
        <v>0</v>
      </c>
      <c r="J596" s="1048">
        <f t="shared" ref="J596:J655" si="79">I596*1.059</f>
        <v>0</v>
      </c>
      <c r="K596" s="1048">
        <f t="shared" ref="K596:K655" si="80">J596*1.056</f>
        <v>0</v>
      </c>
      <c r="L596" s="208"/>
      <c r="M596" s="209"/>
      <c r="N596" s="209"/>
      <c r="O596" s="209"/>
      <c r="P596" s="209"/>
      <c r="Q596" s="209"/>
      <c r="R596" s="209"/>
      <c r="S596" s="209"/>
      <c r="T596" s="209"/>
      <c r="U596" s="209"/>
      <c r="V596" s="209"/>
      <c r="W596" s="209"/>
    </row>
    <row r="597" spans="1:23" ht="11.25" customHeight="1" x14ac:dyDescent="0.25">
      <c r="A597" s="1165" t="s">
        <v>2376</v>
      </c>
      <c r="B597" s="1041"/>
      <c r="C597" s="1050">
        <v>0</v>
      </c>
      <c r="D597" s="1052">
        <v>1812656.96</v>
      </c>
      <c r="E597" s="1052">
        <v>3169522.12</v>
      </c>
      <c r="F597" s="1052">
        <v>2398969</v>
      </c>
      <c r="G597" s="1048">
        <f>F597+1001031</f>
        <v>3400000</v>
      </c>
      <c r="H597" s="1048">
        <f t="shared" si="78"/>
        <v>3400000</v>
      </c>
      <c r="I597" s="1052">
        <v>753559</v>
      </c>
      <c r="J597" s="1048">
        <v>798018.98099999991</v>
      </c>
      <c r="K597" s="1048">
        <v>842708.04393599997</v>
      </c>
      <c r="L597" s="208"/>
      <c r="M597" s="209"/>
      <c r="N597" s="209"/>
      <c r="O597" s="209"/>
      <c r="P597" s="209"/>
      <c r="Q597" s="209"/>
      <c r="R597" s="209"/>
      <c r="S597" s="209"/>
      <c r="T597" s="209"/>
      <c r="U597" s="209"/>
      <c r="V597" s="209"/>
      <c r="W597" s="209"/>
    </row>
    <row r="598" spans="1:23" ht="11.25" customHeight="1" x14ac:dyDescent="0.25">
      <c r="A598" s="1165" t="s">
        <v>2377</v>
      </c>
      <c r="B598" s="1041"/>
      <c r="C598" s="1050">
        <v>0</v>
      </c>
      <c r="D598" s="1052">
        <v>700251</v>
      </c>
      <c r="E598" s="1052">
        <v>1116544.2</v>
      </c>
      <c r="F598" s="1052">
        <v>1112085</v>
      </c>
      <c r="G598" s="1048">
        <f>F598+287915</f>
        <v>1400000</v>
      </c>
      <c r="H598" s="1048">
        <f t="shared" si="78"/>
        <v>1400000</v>
      </c>
      <c r="I598" s="1052">
        <v>276307</v>
      </c>
      <c r="J598" s="1048">
        <v>292609.11300000001</v>
      </c>
      <c r="K598" s="1048">
        <v>308995.22332800005</v>
      </c>
      <c r="L598" s="208"/>
      <c r="M598" s="209"/>
      <c r="N598" s="209"/>
      <c r="O598" s="209"/>
      <c r="P598" s="209"/>
      <c r="Q598" s="209"/>
      <c r="R598" s="209"/>
      <c r="S598" s="209"/>
      <c r="T598" s="209"/>
      <c r="U598" s="209"/>
      <c r="V598" s="209"/>
      <c r="W598" s="209"/>
    </row>
    <row r="599" spans="1:23" ht="11.25" customHeight="1" x14ac:dyDescent="0.25">
      <c r="A599" s="1165" t="s">
        <v>2378</v>
      </c>
      <c r="B599" s="1041"/>
      <c r="C599" s="1050">
        <v>0</v>
      </c>
      <c r="D599" s="1052"/>
      <c r="E599" s="1052"/>
      <c r="F599" s="1052">
        <v>0</v>
      </c>
      <c r="G599" s="1048">
        <v>0</v>
      </c>
      <c r="H599" s="1048">
        <f t="shared" si="78"/>
        <v>0</v>
      </c>
      <c r="I599" s="1052">
        <v>0</v>
      </c>
      <c r="J599" s="1048">
        <f t="shared" si="79"/>
        <v>0</v>
      </c>
      <c r="K599" s="1048">
        <f t="shared" si="80"/>
        <v>0</v>
      </c>
      <c r="L599" s="208"/>
      <c r="M599" s="209"/>
      <c r="N599" s="209"/>
      <c r="O599" s="209"/>
      <c r="P599" s="209"/>
      <c r="Q599" s="209"/>
      <c r="R599" s="209"/>
      <c r="S599" s="209"/>
      <c r="T599" s="209"/>
      <c r="U599" s="209"/>
      <c r="V599" s="209"/>
      <c r="W599" s="209"/>
    </row>
    <row r="600" spans="1:23" ht="11.25" customHeight="1" x14ac:dyDescent="0.25">
      <c r="A600" s="1165" t="s">
        <v>2379</v>
      </c>
      <c r="B600" s="1041"/>
      <c r="C600" s="1050">
        <v>0</v>
      </c>
      <c r="D600" s="1052">
        <v>8931</v>
      </c>
      <c r="E600" s="1052">
        <v>8244</v>
      </c>
      <c r="F600" s="1052">
        <v>0</v>
      </c>
      <c r="G600" s="1048">
        <v>8244</v>
      </c>
      <c r="H600" s="1048">
        <f t="shared" si="78"/>
        <v>8244</v>
      </c>
      <c r="I600" s="1052">
        <v>0</v>
      </c>
      <c r="J600" s="1048">
        <f t="shared" si="79"/>
        <v>0</v>
      </c>
      <c r="K600" s="1048">
        <f t="shared" si="80"/>
        <v>0</v>
      </c>
      <c r="L600" s="208"/>
      <c r="M600" s="209"/>
      <c r="N600" s="209"/>
      <c r="O600" s="209"/>
      <c r="P600" s="209"/>
      <c r="Q600" s="209"/>
      <c r="R600" s="209"/>
      <c r="S600" s="209"/>
      <c r="T600" s="209"/>
      <c r="U600" s="209"/>
      <c r="V600" s="209"/>
      <c r="W600" s="209"/>
    </row>
    <row r="601" spans="1:23" ht="11.25" customHeight="1" x14ac:dyDescent="0.25">
      <c r="A601" s="1165" t="s">
        <v>2380</v>
      </c>
      <c r="B601" s="1041"/>
      <c r="C601" s="1050">
        <v>0</v>
      </c>
      <c r="D601" s="1052">
        <v>82526.39</v>
      </c>
      <c r="E601" s="1052">
        <v>165879.1</v>
      </c>
      <c r="F601" s="1052">
        <v>169728</v>
      </c>
      <c r="G601" s="1048">
        <f>F601</f>
        <v>169728</v>
      </c>
      <c r="H601" s="1048">
        <f t="shared" si="78"/>
        <v>169728</v>
      </c>
      <c r="I601" s="1048">
        <v>39347</v>
      </c>
      <c r="J601" s="1048">
        <v>41668.472999999998</v>
      </c>
      <c r="K601" s="1048">
        <v>44001.907487999997</v>
      </c>
      <c r="L601" s="208"/>
      <c r="M601" s="209"/>
      <c r="N601" s="209"/>
      <c r="O601" s="209"/>
      <c r="P601" s="209"/>
      <c r="Q601" s="209"/>
      <c r="R601" s="209"/>
      <c r="S601" s="209"/>
      <c r="T601" s="209"/>
      <c r="U601" s="209"/>
      <c r="V601" s="209"/>
      <c r="W601" s="209"/>
    </row>
    <row r="602" spans="1:23" ht="11.25" customHeight="1" x14ac:dyDescent="0.25">
      <c r="A602" s="1165" t="s">
        <v>2557</v>
      </c>
      <c r="B602" s="1041"/>
      <c r="C602" s="1050">
        <v>0</v>
      </c>
      <c r="D602" s="1050">
        <v>0</v>
      </c>
      <c r="E602" s="1050">
        <v>0</v>
      </c>
      <c r="F602" s="1052">
        <v>0</v>
      </c>
      <c r="G602" s="1048">
        <v>0</v>
      </c>
      <c r="H602" s="1048">
        <f t="shared" si="78"/>
        <v>0</v>
      </c>
      <c r="I602" s="1052">
        <v>0</v>
      </c>
      <c r="J602" s="1048">
        <f t="shared" si="79"/>
        <v>0</v>
      </c>
      <c r="K602" s="1048">
        <f t="shared" si="80"/>
        <v>0</v>
      </c>
      <c r="L602" s="208"/>
      <c r="M602" s="209"/>
      <c r="N602" s="209"/>
      <c r="O602" s="209"/>
      <c r="P602" s="209"/>
      <c r="Q602" s="209"/>
      <c r="R602" s="209"/>
      <c r="S602" s="209"/>
      <c r="T602" s="209"/>
      <c r="U602" s="209"/>
      <c r="V602" s="209"/>
      <c r="W602" s="209"/>
    </row>
    <row r="603" spans="1:23" ht="11.25" customHeight="1" x14ac:dyDescent="0.25">
      <c r="A603" s="1165" t="s">
        <v>2447</v>
      </c>
      <c r="B603" s="1041"/>
      <c r="C603" s="1050">
        <v>0</v>
      </c>
      <c r="D603" s="1052">
        <v>275000</v>
      </c>
      <c r="E603" s="1052">
        <v>324000</v>
      </c>
      <c r="F603" s="1052">
        <v>324000</v>
      </c>
      <c r="G603" s="1048">
        <f>F603</f>
        <v>324000</v>
      </c>
      <c r="H603" s="1048">
        <f t="shared" si="78"/>
        <v>324000</v>
      </c>
      <c r="I603" s="1048">
        <v>264000</v>
      </c>
      <c r="J603" s="1048">
        <v>279576</v>
      </c>
      <c r="K603" s="1048">
        <v>295232.25599999999</v>
      </c>
      <c r="L603" s="208"/>
      <c r="M603" s="209"/>
      <c r="N603" s="209"/>
      <c r="O603" s="209"/>
      <c r="P603" s="209"/>
      <c r="Q603" s="209"/>
      <c r="R603" s="209"/>
      <c r="S603" s="209"/>
      <c r="T603" s="209"/>
      <c r="U603" s="209"/>
      <c r="V603" s="209"/>
      <c r="W603" s="209"/>
    </row>
    <row r="604" spans="1:23" ht="11.25" customHeight="1" x14ac:dyDescent="0.25">
      <c r="A604" s="1165" t="s">
        <v>2446</v>
      </c>
      <c r="B604" s="1041"/>
      <c r="C604" s="1050">
        <v>0</v>
      </c>
      <c r="D604" s="1052">
        <v>29050</v>
      </c>
      <c r="E604" s="1052">
        <v>24947.8</v>
      </c>
      <c r="F604" s="1052">
        <v>158921</v>
      </c>
      <c r="G604" s="1048">
        <f>F604+208079</f>
        <v>367000</v>
      </c>
      <c r="H604" s="1048">
        <f t="shared" si="78"/>
        <v>367000</v>
      </c>
      <c r="I604" s="1048">
        <v>48000</v>
      </c>
      <c r="J604" s="1048">
        <v>50832</v>
      </c>
      <c r="K604" s="1048">
        <v>53678.592000000004</v>
      </c>
      <c r="L604" s="208"/>
      <c r="M604" s="209"/>
      <c r="N604" s="209"/>
      <c r="O604" s="209"/>
      <c r="P604" s="209"/>
      <c r="Q604" s="209"/>
      <c r="R604" s="209"/>
      <c r="S604" s="209"/>
      <c r="T604" s="209"/>
      <c r="U604" s="209"/>
      <c r="V604" s="209"/>
      <c r="W604" s="209"/>
    </row>
    <row r="605" spans="1:23" ht="11.25" customHeight="1" x14ac:dyDescent="0.25">
      <c r="A605" s="1165" t="s">
        <v>2558</v>
      </c>
      <c r="B605" s="1041"/>
      <c r="C605" s="1050">
        <v>0</v>
      </c>
      <c r="D605" s="1050">
        <v>0</v>
      </c>
      <c r="E605" s="1050">
        <v>0</v>
      </c>
      <c r="F605" s="1052">
        <v>0</v>
      </c>
      <c r="G605" s="1048">
        <v>0</v>
      </c>
      <c r="H605" s="1048">
        <f t="shared" si="78"/>
        <v>0</v>
      </c>
      <c r="I605" s="1052">
        <v>0</v>
      </c>
      <c r="J605" s="1048">
        <f t="shared" si="79"/>
        <v>0</v>
      </c>
      <c r="K605" s="1048">
        <f t="shared" si="80"/>
        <v>0</v>
      </c>
      <c r="L605" s="208"/>
      <c r="M605" s="209"/>
      <c r="N605" s="209"/>
      <c r="O605" s="209"/>
      <c r="P605" s="209"/>
      <c r="Q605" s="209"/>
      <c r="R605" s="209"/>
      <c r="S605" s="209"/>
      <c r="T605" s="209"/>
      <c r="U605" s="209"/>
      <c r="V605" s="209"/>
      <c r="W605" s="209"/>
    </row>
    <row r="606" spans="1:23" ht="11.25" customHeight="1" x14ac:dyDescent="0.25">
      <c r="A606" s="1165" t="s">
        <v>2390</v>
      </c>
      <c r="B606" s="1041"/>
      <c r="C606" s="1050">
        <v>0</v>
      </c>
      <c r="D606" s="1052">
        <v>3897.39</v>
      </c>
      <c r="E606" s="1052"/>
      <c r="F606" s="1052">
        <v>0</v>
      </c>
      <c r="G606" s="1048">
        <v>0</v>
      </c>
      <c r="H606" s="1048">
        <f t="shared" si="78"/>
        <v>0</v>
      </c>
      <c r="I606" s="1052">
        <v>0</v>
      </c>
      <c r="J606" s="1048">
        <f t="shared" si="79"/>
        <v>0</v>
      </c>
      <c r="K606" s="1048">
        <f t="shared" si="80"/>
        <v>0</v>
      </c>
      <c r="L606" s="208"/>
      <c r="M606" s="209"/>
      <c r="N606" s="209"/>
      <c r="O606" s="209"/>
      <c r="P606" s="209"/>
      <c r="Q606" s="209"/>
      <c r="R606" s="209"/>
      <c r="S606" s="209"/>
      <c r="T606" s="209"/>
      <c r="U606" s="209"/>
      <c r="V606" s="209"/>
      <c r="W606" s="209"/>
    </row>
    <row r="607" spans="1:23" ht="11.25" customHeight="1" x14ac:dyDescent="0.25">
      <c r="A607" s="1165" t="s">
        <v>2391</v>
      </c>
      <c r="B607" s="1041"/>
      <c r="C607" s="1050">
        <v>0</v>
      </c>
      <c r="D607" s="1052">
        <v>117393.08</v>
      </c>
      <c r="E607" s="1052">
        <v>194827.02</v>
      </c>
      <c r="F607" s="1052">
        <v>150000</v>
      </c>
      <c r="G607" s="1048">
        <f>F607+41000</f>
        <v>191000</v>
      </c>
      <c r="H607" s="1048">
        <f t="shared" si="78"/>
        <v>191000</v>
      </c>
      <c r="I607" s="1048">
        <v>39347</v>
      </c>
      <c r="J607" s="1048">
        <v>41668.472999999998</v>
      </c>
      <c r="K607" s="1048">
        <v>44001.907487999997</v>
      </c>
      <c r="L607" s="208"/>
      <c r="M607" s="209"/>
      <c r="N607" s="209"/>
      <c r="O607" s="209"/>
      <c r="P607" s="209"/>
      <c r="Q607" s="209"/>
      <c r="R607" s="209"/>
      <c r="S607" s="209"/>
      <c r="T607" s="209"/>
      <c r="U607" s="209"/>
      <c r="V607" s="209"/>
      <c r="W607" s="209"/>
    </row>
    <row r="608" spans="1:23" ht="11.25" customHeight="1" x14ac:dyDescent="0.25">
      <c r="A608" s="1165" t="s">
        <v>2392</v>
      </c>
      <c r="B608" s="1041"/>
      <c r="C608" s="1050">
        <v>0</v>
      </c>
      <c r="D608" s="1052">
        <v>234656.65</v>
      </c>
      <c r="E608" s="1052">
        <v>0</v>
      </c>
      <c r="F608" s="1052">
        <v>0</v>
      </c>
      <c r="G608" s="1048">
        <v>0</v>
      </c>
      <c r="H608" s="1048">
        <f t="shared" si="78"/>
        <v>0</v>
      </c>
      <c r="I608" s="1052">
        <v>0</v>
      </c>
      <c r="J608" s="1048">
        <f t="shared" si="79"/>
        <v>0</v>
      </c>
      <c r="K608" s="1048">
        <f t="shared" si="80"/>
        <v>0</v>
      </c>
      <c r="L608" s="208"/>
      <c r="M608" s="209"/>
      <c r="N608" s="209"/>
      <c r="O608" s="209"/>
      <c r="P608" s="209"/>
      <c r="Q608" s="209"/>
      <c r="R608" s="209"/>
      <c r="S608" s="209"/>
      <c r="T608" s="209"/>
      <c r="U608" s="209"/>
      <c r="V608" s="209"/>
      <c r="W608" s="209"/>
    </row>
    <row r="609" spans="1:23" ht="11.25" customHeight="1" x14ac:dyDescent="0.25">
      <c r="A609" s="1165" t="s">
        <v>2496</v>
      </c>
      <c r="B609" s="1041"/>
      <c r="C609" s="1050">
        <v>0</v>
      </c>
      <c r="D609" s="1050">
        <v>0</v>
      </c>
      <c r="E609" s="1050">
        <v>0</v>
      </c>
      <c r="F609" s="1052">
        <v>0</v>
      </c>
      <c r="G609" s="1048">
        <v>0</v>
      </c>
      <c r="H609" s="1048">
        <f t="shared" si="78"/>
        <v>0</v>
      </c>
      <c r="I609" s="1052">
        <v>0</v>
      </c>
      <c r="J609" s="1048">
        <f t="shared" si="79"/>
        <v>0</v>
      </c>
      <c r="K609" s="1048">
        <f t="shared" si="80"/>
        <v>0</v>
      </c>
      <c r="L609" s="208"/>
      <c r="M609" s="209"/>
      <c r="N609" s="209"/>
      <c r="O609" s="209"/>
      <c r="P609" s="209"/>
      <c r="Q609" s="209"/>
      <c r="R609" s="209"/>
      <c r="S609" s="209"/>
      <c r="T609" s="209"/>
      <c r="U609" s="209"/>
      <c r="V609" s="209"/>
      <c r="W609" s="209"/>
    </row>
    <row r="610" spans="1:23" ht="11.25" customHeight="1" x14ac:dyDescent="0.25">
      <c r="A610" s="1165" t="s">
        <v>2394</v>
      </c>
      <c r="B610" s="1041"/>
      <c r="C610" s="1050">
        <v>0</v>
      </c>
      <c r="D610" s="1050">
        <v>0</v>
      </c>
      <c r="E610" s="1050">
        <v>0</v>
      </c>
      <c r="F610" s="1052">
        <v>0</v>
      </c>
      <c r="G610" s="1048">
        <v>0</v>
      </c>
      <c r="H610" s="1048">
        <f t="shared" si="78"/>
        <v>0</v>
      </c>
      <c r="I610" s="1052">
        <v>0</v>
      </c>
      <c r="J610" s="1048">
        <f t="shared" si="79"/>
        <v>0</v>
      </c>
      <c r="K610" s="1048">
        <f t="shared" si="80"/>
        <v>0</v>
      </c>
      <c r="L610" s="208"/>
      <c r="M610" s="209"/>
      <c r="N610" s="209"/>
      <c r="O610" s="209"/>
      <c r="P610" s="209"/>
      <c r="Q610" s="209"/>
      <c r="R610" s="209"/>
      <c r="S610" s="209"/>
      <c r="T610" s="209"/>
      <c r="U610" s="209"/>
      <c r="V610" s="209"/>
      <c r="W610" s="209"/>
    </row>
    <row r="611" spans="1:23" ht="11.25" customHeight="1" x14ac:dyDescent="0.25">
      <c r="A611" s="1165" t="s">
        <v>2463</v>
      </c>
      <c r="B611" s="1041"/>
      <c r="C611" s="1050">
        <v>0</v>
      </c>
      <c r="D611" s="1050">
        <v>0</v>
      </c>
      <c r="E611" s="1050">
        <v>0</v>
      </c>
      <c r="F611" s="1052">
        <v>0</v>
      </c>
      <c r="G611" s="1048">
        <v>0</v>
      </c>
      <c r="H611" s="1048">
        <f t="shared" si="78"/>
        <v>0</v>
      </c>
      <c r="I611" s="1052">
        <v>0</v>
      </c>
      <c r="J611" s="1048">
        <f t="shared" si="79"/>
        <v>0</v>
      </c>
      <c r="K611" s="1048">
        <f t="shared" si="80"/>
        <v>0</v>
      </c>
      <c r="L611" s="208"/>
      <c r="M611" s="209"/>
      <c r="N611" s="209"/>
      <c r="O611" s="209"/>
      <c r="P611" s="209"/>
      <c r="Q611" s="209"/>
      <c r="R611" s="209"/>
      <c r="S611" s="209"/>
      <c r="T611" s="209"/>
      <c r="U611" s="209"/>
      <c r="V611" s="209"/>
      <c r="W611" s="209"/>
    </row>
    <row r="612" spans="1:23" ht="11.25" customHeight="1" x14ac:dyDescent="0.25">
      <c r="A612" s="1165" t="s">
        <v>2398</v>
      </c>
      <c r="B612" s="1041"/>
      <c r="C612" s="1050">
        <v>0</v>
      </c>
      <c r="D612" s="1050">
        <v>0</v>
      </c>
      <c r="E612" s="1050">
        <v>0</v>
      </c>
      <c r="F612" s="1052">
        <v>0</v>
      </c>
      <c r="G612" s="1048">
        <v>0</v>
      </c>
      <c r="H612" s="1048">
        <f t="shared" si="78"/>
        <v>0</v>
      </c>
      <c r="I612" s="1052">
        <v>0</v>
      </c>
      <c r="J612" s="1048">
        <f t="shared" si="79"/>
        <v>0</v>
      </c>
      <c r="K612" s="1048">
        <f t="shared" si="80"/>
        <v>0</v>
      </c>
      <c r="L612" s="208"/>
      <c r="M612" s="209"/>
      <c r="N612" s="209"/>
      <c r="O612" s="209"/>
      <c r="P612" s="209"/>
      <c r="Q612" s="209"/>
      <c r="R612" s="209"/>
      <c r="S612" s="209"/>
      <c r="T612" s="209"/>
      <c r="U612" s="209"/>
      <c r="V612" s="209"/>
      <c r="W612" s="209"/>
    </row>
    <row r="613" spans="1:23" ht="11.25" customHeight="1" x14ac:dyDescent="0.25">
      <c r="A613" s="1165" t="s">
        <v>2400</v>
      </c>
      <c r="B613" s="1041"/>
      <c r="C613" s="1050">
        <v>0</v>
      </c>
      <c r="D613" s="1052">
        <v>46853.04</v>
      </c>
      <c r="E613" s="1052">
        <v>3692.88</v>
      </c>
      <c r="F613" s="1052">
        <v>0</v>
      </c>
      <c r="G613" s="1048">
        <v>0</v>
      </c>
      <c r="H613" s="1048">
        <f t="shared" si="78"/>
        <v>0</v>
      </c>
      <c r="I613" s="1052">
        <v>0</v>
      </c>
      <c r="J613" s="1048">
        <f t="shared" si="79"/>
        <v>0</v>
      </c>
      <c r="K613" s="1048">
        <f t="shared" si="80"/>
        <v>0</v>
      </c>
      <c r="L613" s="208"/>
      <c r="M613" s="209"/>
      <c r="N613" s="209"/>
      <c r="O613" s="209"/>
      <c r="P613" s="209"/>
      <c r="Q613" s="209"/>
      <c r="R613" s="209"/>
      <c r="S613" s="209"/>
      <c r="T613" s="209"/>
      <c r="U613" s="209"/>
      <c r="V613" s="209"/>
      <c r="W613" s="209"/>
    </row>
    <row r="614" spans="1:23" ht="11.25" customHeight="1" x14ac:dyDescent="0.25">
      <c r="A614" s="1165" t="s">
        <v>2559</v>
      </c>
      <c r="B614" s="1041"/>
      <c r="C614" s="1050">
        <v>0</v>
      </c>
      <c r="D614" s="1050">
        <v>0</v>
      </c>
      <c r="E614" s="1050">
        <v>0</v>
      </c>
      <c r="F614" s="1052">
        <v>0</v>
      </c>
      <c r="G614" s="1048">
        <v>0</v>
      </c>
      <c r="H614" s="1048">
        <f t="shared" si="78"/>
        <v>0</v>
      </c>
      <c r="I614" s="1052">
        <v>0</v>
      </c>
      <c r="J614" s="1048">
        <f t="shared" si="79"/>
        <v>0</v>
      </c>
      <c r="K614" s="1048">
        <f t="shared" si="80"/>
        <v>0</v>
      </c>
      <c r="L614" s="208"/>
      <c r="M614" s="209"/>
      <c r="N614" s="209"/>
      <c r="O614" s="209"/>
      <c r="P614" s="209"/>
      <c r="Q614" s="209"/>
      <c r="R614" s="209"/>
      <c r="S614" s="209"/>
      <c r="T614" s="209"/>
      <c r="U614" s="209"/>
      <c r="V614" s="209"/>
      <c r="W614" s="209"/>
    </row>
    <row r="615" spans="1:23" ht="11.25" customHeight="1" x14ac:dyDescent="0.25">
      <c r="A615" s="1165" t="s">
        <v>2407</v>
      </c>
      <c r="B615" s="1041"/>
      <c r="C615" s="1050">
        <v>0</v>
      </c>
      <c r="D615" s="1052"/>
      <c r="E615" s="1052"/>
      <c r="F615" s="1052">
        <v>0</v>
      </c>
      <c r="G615" s="1048">
        <v>0</v>
      </c>
      <c r="H615" s="1048">
        <f t="shared" si="78"/>
        <v>0</v>
      </c>
      <c r="I615" s="1052">
        <v>0</v>
      </c>
      <c r="J615" s="1048">
        <f t="shared" si="79"/>
        <v>0</v>
      </c>
      <c r="K615" s="1048">
        <f t="shared" si="80"/>
        <v>0</v>
      </c>
      <c r="L615" s="208"/>
      <c r="M615" s="209"/>
      <c r="N615" s="209"/>
      <c r="O615" s="209"/>
      <c r="P615" s="209"/>
      <c r="Q615" s="209"/>
      <c r="R615" s="209"/>
      <c r="S615" s="209"/>
      <c r="T615" s="209"/>
      <c r="U615" s="209"/>
      <c r="V615" s="209"/>
      <c r="W615" s="209"/>
    </row>
    <row r="616" spans="1:23" ht="11.25" customHeight="1" x14ac:dyDescent="0.25">
      <c r="A616" s="1165" t="s">
        <v>2411</v>
      </c>
      <c r="B616" s="1041"/>
      <c r="C616" s="1050">
        <v>0</v>
      </c>
      <c r="D616" s="1052"/>
      <c r="E616" s="1052"/>
      <c r="F616" s="1052">
        <v>0</v>
      </c>
      <c r="G616" s="1048">
        <v>16637</v>
      </c>
      <c r="H616" s="1048">
        <f t="shared" si="78"/>
        <v>16637</v>
      </c>
      <c r="I616" s="1052">
        <v>0</v>
      </c>
      <c r="J616" s="1048">
        <f t="shared" si="79"/>
        <v>0</v>
      </c>
      <c r="K616" s="1048">
        <f t="shared" si="80"/>
        <v>0</v>
      </c>
      <c r="L616" s="208"/>
      <c r="M616" s="209"/>
      <c r="N616" s="209"/>
      <c r="O616" s="209"/>
      <c r="P616" s="209"/>
      <c r="Q616" s="209"/>
      <c r="R616" s="209"/>
      <c r="S616" s="209"/>
      <c r="T616" s="209"/>
      <c r="U616" s="209"/>
      <c r="V616" s="209"/>
      <c r="W616" s="209"/>
    </row>
    <row r="617" spans="1:23" ht="11.25" customHeight="1" x14ac:dyDescent="0.25">
      <c r="A617" s="1165" t="s">
        <v>2542</v>
      </c>
      <c r="B617" s="1041"/>
      <c r="C617" s="1050">
        <v>0</v>
      </c>
      <c r="D617" s="1052">
        <v>274041.02</v>
      </c>
      <c r="E617" s="1052"/>
      <c r="F617" s="1052">
        <v>0</v>
      </c>
      <c r="G617" s="1048">
        <v>58152</v>
      </c>
      <c r="H617" s="1048">
        <f t="shared" si="78"/>
        <v>58152</v>
      </c>
      <c r="I617" s="1052">
        <v>0</v>
      </c>
      <c r="J617" s="1048">
        <f t="shared" si="79"/>
        <v>0</v>
      </c>
      <c r="K617" s="1048">
        <f t="shared" si="80"/>
        <v>0</v>
      </c>
      <c r="L617" s="208"/>
      <c r="M617" s="209"/>
      <c r="N617" s="209"/>
      <c r="O617" s="209"/>
      <c r="P617" s="209"/>
      <c r="Q617" s="209"/>
      <c r="R617" s="209"/>
      <c r="S617" s="209"/>
      <c r="T617" s="209"/>
      <c r="U617" s="209"/>
      <c r="V617" s="209"/>
      <c r="W617" s="209"/>
    </row>
    <row r="618" spans="1:23" ht="11.25" customHeight="1" x14ac:dyDescent="0.25">
      <c r="A618" s="1165" t="s">
        <v>2560</v>
      </c>
      <c r="B618" s="1041"/>
      <c r="C618" s="1050">
        <v>0</v>
      </c>
      <c r="D618" s="1052"/>
      <c r="E618" s="1052"/>
      <c r="F618" s="1052">
        <v>0</v>
      </c>
      <c r="G618" s="1048">
        <v>0</v>
      </c>
      <c r="H618" s="1048">
        <f t="shared" si="78"/>
        <v>0</v>
      </c>
      <c r="I618" s="1052">
        <v>0</v>
      </c>
      <c r="J618" s="1048">
        <f t="shared" si="79"/>
        <v>0</v>
      </c>
      <c r="K618" s="1048">
        <f t="shared" si="80"/>
        <v>0</v>
      </c>
      <c r="L618" s="208"/>
      <c r="M618" s="209"/>
      <c r="N618" s="209"/>
      <c r="O618" s="209"/>
      <c r="P618" s="209"/>
      <c r="Q618" s="209"/>
      <c r="R618" s="209"/>
      <c r="S618" s="209"/>
      <c r="T618" s="209"/>
      <c r="U618" s="209"/>
      <c r="V618" s="209"/>
      <c r="W618" s="209"/>
    </row>
    <row r="619" spans="1:23" ht="11.25" customHeight="1" x14ac:dyDescent="0.25">
      <c r="A619" s="1165" t="s">
        <v>2561</v>
      </c>
      <c r="B619" s="1041"/>
      <c r="C619" s="1050">
        <v>0</v>
      </c>
      <c r="D619" s="1052">
        <v>109889.7</v>
      </c>
      <c r="E619" s="1052"/>
      <c r="F619" s="1052">
        <v>0</v>
      </c>
      <c r="G619" s="1048">
        <v>0</v>
      </c>
      <c r="H619" s="1048">
        <f t="shared" si="78"/>
        <v>0</v>
      </c>
      <c r="I619" s="1052">
        <v>0</v>
      </c>
      <c r="J619" s="1048">
        <f t="shared" si="79"/>
        <v>0</v>
      </c>
      <c r="K619" s="1048">
        <f t="shared" si="80"/>
        <v>0</v>
      </c>
      <c r="L619" s="208"/>
      <c r="M619" s="209"/>
      <c r="N619" s="209"/>
      <c r="O619" s="209"/>
      <c r="P619" s="209"/>
      <c r="Q619" s="209"/>
      <c r="R619" s="209"/>
      <c r="S619" s="209"/>
      <c r="T619" s="209"/>
      <c r="U619" s="209"/>
      <c r="V619" s="209"/>
      <c r="W619" s="209"/>
    </row>
    <row r="620" spans="1:23" ht="11.25" customHeight="1" x14ac:dyDescent="0.25">
      <c r="A620" s="1165" t="s">
        <v>2513</v>
      </c>
      <c r="B620" s="1041"/>
      <c r="C620" s="1050">
        <v>0</v>
      </c>
      <c r="D620" s="1052">
        <v>334603.56</v>
      </c>
      <c r="E620" s="1052">
        <v>616524.78</v>
      </c>
      <c r="F620" s="1052">
        <v>0</v>
      </c>
      <c r="G620" s="1048">
        <v>0</v>
      </c>
      <c r="H620" s="1048">
        <f t="shared" si="78"/>
        <v>0</v>
      </c>
      <c r="I620" s="1052">
        <v>0</v>
      </c>
      <c r="J620" s="1048">
        <f t="shared" si="79"/>
        <v>0</v>
      </c>
      <c r="K620" s="1048">
        <f t="shared" si="80"/>
        <v>0</v>
      </c>
      <c r="L620" s="208"/>
      <c r="M620" s="209"/>
      <c r="N620" s="209"/>
      <c r="O620" s="209"/>
      <c r="P620" s="209"/>
      <c r="Q620" s="209"/>
      <c r="R620" s="209"/>
      <c r="S620" s="209"/>
      <c r="T620" s="209"/>
      <c r="U620" s="209"/>
      <c r="V620" s="209"/>
      <c r="W620" s="209"/>
    </row>
    <row r="621" spans="1:23" ht="11.25" customHeight="1" x14ac:dyDescent="0.25">
      <c r="A621" s="1165" t="s">
        <v>2562</v>
      </c>
      <c r="B621" s="1041"/>
      <c r="C621" s="1050">
        <v>0</v>
      </c>
      <c r="D621" s="1052">
        <v>10459137.66</v>
      </c>
      <c r="E621" s="1052">
        <v>10084750.9</v>
      </c>
      <c r="F621" s="1052">
        <v>6000000</v>
      </c>
      <c r="G621" s="1048">
        <f>F621</f>
        <v>6000000</v>
      </c>
      <c r="H621" s="1048">
        <f t="shared" si="78"/>
        <v>6000000</v>
      </c>
      <c r="I621" s="1048">
        <v>0</v>
      </c>
      <c r="J621" s="1048">
        <f t="shared" si="79"/>
        <v>0</v>
      </c>
      <c r="K621" s="1048">
        <f t="shared" si="80"/>
        <v>0</v>
      </c>
      <c r="L621" s="208"/>
      <c r="M621" s="209"/>
      <c r="N621" s="209"/>
      <c r="O621" s="209"/>
      <c r="P621" s="209"/>
      <c r="Q621" s="209"/>
      <c r="R621" s="209"/>
      <c r="S621" s="209"/>
      <c r="T621" s="209"/>
      <c r="U621" s="209"/>
      <c r="V621" s="209"/>
      <c r="W621" s="209"/>
    </row>
    <row r="622" spans="1:23" ht="11.25" customHeight="1" x14ac:dyDescent="0.25">
      <c r="A622" s="1165" t="s">
        <v>2563</v>
      </c>
      <c r="B622" s="1041"/>
      <c r="C622" s="1050">
        <v>0</v>
      </c>
      <c r="D622" s="1052"/>
      <c r="E622" s="1052"/>
      <c r="F622" s="1052">
        <v>0</v>
      </c>
      <c r="G622" s="1048">
        <v>0</v>
      </c>
      <c r="H622" s="1048">
        <f t="shared" si="78"/>
        <v>0</v>
      </c>
      <c r="I622" s="1052">
        <v>0</v>
      </c>
      <c r="J622" s="1048">
        <f t="shared" si="79"/>
        <v>0</v>
      </c>
      <c r="K622" s="1048">
        <f t="shared" si="80"/>
        <v>0</v>
      </c>
      <c r="L622" s="208"/>
      <c r="M622" s="209"/>
      <c r="N622" s="209"/>
      <c r="O622" s="209"/>
      <c r="P622" s="209"/>
      <c r="Q622" s="209"/>
      <c r="R622" s="209"/>
      <c r="S622" s="209"/>
      <c r="T622" s="209"/>
      <c r="U622" s="209"/>
      <c r="V622" s="209"/>
      <c r="W622" s="209"/>
    </row>
    <row r="623" spans="1:23" ht="11.25" customHeight="1" x14ac:dyDescent="0.25">
      <c r="A623" s="1165" t="s">
        <v>2564</v>
      </c>
      <c r="B623" s="1041"/>
      <c r="C623" s="1050">
        <v>0</v>
      </c>
      <c r="D623" s="1052"/>
      <c r="E623" s="1052"/>
      <c r="F623" s="1052">
        <v>0</v>
      </c>
      <c r="G623" s="1048">
        <v>0</v>
      </c>
      <c r="H623" s="1048">
        <f t="shared" si="78"/>
        <v>0</v>
      </c>
      <c r="I623" s="1052">
        <v>0</v>
      </c>
      <c r="J623" s="1048">
        <f t="shared" si="79"/>
        <v>0</v>
      </c>
      <c r="K623" s="1048">
        <f t="shared" si="80"/>
        <v>0</v>
      </c>
      <c r="L623" s="208"/>
      <c r="M623" s="209"/>
      <c r="N623" s="209"/>
      <c r="O623" s="209"/>
      <c r="P623" s="209"/>
      <c r="Q623" s="209"/>
      <c r="R623" s="209"/>
      <c r="S623" s="209"/>
      <c r="T623" s="209"/>
      <c r="U623" s="209"/>
      <c r="V623" s="209"/>
      <c r="W623" s="209"/>
    </row>
    <row r="624" spans="1:23" ht="11.25" customHeight="1" x14ac:dyDescent="0.25">
      <c r="A624" s="1165" t="s">
        <v>2565</v>
      </c>
      <c r="B624" s="1041"/>
      <c r="C624" s="1050">
        <v>0</v>
      </c>
      <c r="D624" s="1052"/>
      <c r="E624" s="1052"/>
      <c r="F624" s="1052">
        <v>0</v>
      </c>
      <c r="G624" s="1048">
        <v>0</v>
      </c>
      <c r="H624" s="1048">
        <f t="shared" si="78"/>
        <v>0</v>
      </c>
      <c r="I624" s="1052">
        <v>0</v>
      </c>
      <c r="J624" s="1048">
        <f t="shared" si="79"/>
        <v>0</v>
      </c>
      <c r="K624" s="1048">
        <f t="shared" si="80"/>
        <v>0</v>
      </c>
      <c r="L624" s="208"/>
      <c r="M624" s="209"/>
      <c r="N624" s="209"/>
      <c r="O624" s="209"/>
      <c r="P624" s="209"/>
      <c r="Q624" s="209"/>
      <c r="R624" s="209"/>
      <c r="S624" s="209"/>
      <c r="T624" s="209"/>
      <c r="U624" s="209"/>
      <c r="V624" s="209"/>
      <c r="W624" s="209"/>
    </row>
    <row r="625" spans="1:23" ht="11.25" customHeight="1" x14ac:dyDescent="0.25">
      <c r="A625" s="1165" t="s">
        <v>2566</v>
      </c>
      <c r="B625" s="1041"/>
      <c r="C625" s="1050">
        <v>0</v>
      </c>
      <c r="D625" s="1052">
        <v>204706.36</v>
      </c>
      <c r="E625" s="1052">
        <v>7877.17</v>
      </c>
      <c r="F625" s="1052">
        <v>0</v>
      </c>
      <c r="G625" s="1048">
        <v>0</v>
      </c>
      <c r="H625" s="1048">
        <f t="shared" si="78"/>
        <v>0</v>
      </c>
      <c r="I625" s="1052">
        <v>0</v>
      </c>
      <c r="J625" s="1048">
        <f t="shared" si="79"/>
        <v>0</v>
      </c>
      <c r="K625" s="1048">
        <f t="shared" si="80"/>
        <v>0</v>
      </c>
      <c r="L625" s="208"/>
      <c r="M625" s="209"/>
      <c r="N625" s="209"/>
      <c r="O625" s="209"/>
      <c r="P625" s="209"/>
      <c r="Q625" s="209"/>
      <c r="R625" s="209"/>
      <c r="S625" s="209"/>
      <c r="T625" s="209"/>
      <c r="U625" s="209"/>
      <c r="V625" s="209"/>
      <c r="W625" s="209"/>
    </row>
    <row r="626" spans="1:23" ht="11.25" customHeight="1" x14ac:dyDescent="0.25">
      <c r="A626" s="1165" t="s">
        <v>2415</v>
      </c>
      <c r="B626" s="1041"/>
      <c r="C626" s="1050">
        <v>0</v>
      </c>
      <c r="D626" s="1052"/>
      <c r="E626" s="1052">
        <v>0</v>
      </c>
      <c r="F626" s="1052">
        <v>0</v>
      </c>
      <c r="G626" s="1048">
        <v>0</v>
      </c>
      <c r="H626" s="1048">
        <f t="shared" si="78"/>
        <v>0</v>
      </c>
      <c r="I626" s="1052">
        <v>0</v>
      </c>
      <c r="J626" s="1048">
        <f t="shared" si="79"/>
        <v>0</v>
      </c>
      <c r="K626" s="1048">
        <f t="shared" si="80"/>
        <v>0</v>
      </c>
      <c r="L626" s="208"/>
      <c r="M626" s="209"/>
      <c r="N626" s="209"/>
      <c r="O626" s="209"/>
      <c r="P626" s="209"/>
      <c r="Q626" s="209"/>
      <c r="R626" s="209"/>
      <c r="S626" s="209"/>
      <c r="T626" s="209"/>
      <c r="U626" s="209"/>
      <c r="V626" s="209"/>
      <c r="W626" s="209"/>
    </row>
    <row r="627" spans="1:23" ht="11.25" customHeight="1" x14ac:dyDescent="0.25">
      <c r="A627" s="1165" t="s">
        <v>2567</v>
      </c>
      <c r="B627" s="1041"/>
      <c r="C627" s="1050">
        <v>0</v>
      </c>
      <c r="D627" s="1052"/>
      <c r="E627" s="1052"/>
      <c r="F627" s="1052">
        <v>0</v>
      </c>
      <c r="G627" s="1048">
        <v>0</v>
      </c>
      <c r="H627" s="1048">
        <f t="shared" si="78"/>
        <v>0</v>
      </c>
      <c r="I627" s="1052">
        <v>0</v>
      </c>
      <c r="J627" s="1048">
        <f t="shared" si="79"/>
        <v>0</v>
      </c>
      <c r="K627" s="1048">
        <f t="shared" si="80"/>
        <v>0</v>
      </c>
      <c r="L627" s="208"/>
      <c r="M627" s="209"/>
      <c r="N627" s="209"/>
      <c r="O627" s="209"/>
      <c r="P627" s="209"/>
      <c r="Q627" s="209"/>
      <c r="R627" s="209"/>
      <c r="S627" s="209"/>
      <c r="T627" s="209"/>
      <c r="U627" s="209"/>
      <c r="V627" s="209"/>
      <c r="W627" s="209"/>
    </row>
    <row r="628" spans="1:23" ht="11.25" customHeight="1" x14ac:dyDescent="0.25">
      <c r="A628" s="1165" t="s">
        <v>2568</v>
      </c>
      <c r="B628" s="1041"/>
      <c r="C628" s="1050">
        <v>0</v>
      </c>
      <c r="D628" s="1052">
        <v>367971.2</v>
      </c>
      <c r="E628" s="1052"/>
      <c r="F628" s="1052">
        <v>0</v>
      </c>
      <c r="G628" s="1048">
        <v>0</v>
      </c>
      <c r="H628" s="1048">
        <f t="shared" si="78"/>
        <v>0</v>
      </c>
      <c r="I628" s="1052">
        <v>0</v>
      </c>
      <c r="J628" s="1048">
        <f t="shared" si="79"/>
        <v>0</v>
      </c>
      <c r="K628" s="1048">
        <f t="shared" si="80"/>
        <v>0</v>
      </c>
      <c r="L628" s="208"/>
      <c r="M628" s="209"/>
      <c r="N628" s="209"/>
      <c r="O628" s="209"/>
      <c r="P628" s="209"/>
      <c r="Q628" s="209"/>
      <c r="R628" s="209"/>
      <c r="S628" s="209"/>
      <c r="T628" s="209"/>
      <c r="U628" s="209"/>
      <c r="V628" s="209"/>
      <c r="W628" s="209"/>
    </row>
    <row r="629" spans="1:23" ht="11.25" customHeight="1" x14ac:dyDescent="0.25">
      <c r="A629" s="1165" t="s">
        <v>2569</v>
      </c>
      <c r="B629" s="1041"/>
      <c r="C629" s="1050">
        <v>0</v>
      </c>
      <c r="D629" s="1052">
        <v>0</v>
      </c>
      <c r="E629" s="1052"/>
      <c r="F629" s="1052">
        <v>0</v>
      </c>
      <c r="G629" s="1048">
        <v>0</v>
      </c>
      <c r="H629" s="1048">
        <f t="shared" si="78"/>
        <v>0</v>
      </c>
      <c r="I629" s="1052">
        <v>0</v>
      </c>
      <c r="J629" s="1048">
        <f t="shared" si="79"/>
        <v>0</v>
      </c>
      <c r="K629" s="1048">
        <f t="shared" si="80"/>
        <v>0</v>
      </c>
      <c r="L629" s="208"/>
      <c r="M629" s="209"/>
      <c r="N629" s="209"/>
      <c r="O629" s="209"/>
      <c r="P629" s="209"/>
      <c r="Q629" s="209"/>
      <c r="R629" s="209"/>
      <c r="S629" s="209"/>
      <c r="T629" s="209"/>
      <c r="U629" s="209"/>
      <c r="V629" s="209"/>
      <c r="W629" s="209"/>
    </row>
    <row r="630" spans="1:23" ht="11.25" customHeight="1" x14ac:dyDescent="0.25">
      <c r="A630" s="1165" t="s">
        <v>2570</v>
      </c>
      <c r="B630" s="1041"/>
      <c r="C630" s="1050">
        <v>0</v>
      </c>
      <c r="D630" s="1052">
        <v>3720</v>
      </c>
      <c r="E630" s="1052"/>
      <c r="F630" s="1052">
        <v>0</v>
      </c>
      <c r="G630" s="1048">
        <v>0</v>
      </c>
      <c r="H630" s="1048">
        <f t="shared" si="78"/>
        <v>0</v>
      </c>
      <c r="I630" s="1052">
        <v>0</v>
      </c>
      <c r="J630" s="1048">
        <f t="shared" si="79"/>
        <v>0</v>
      </c>
      <c r="K630" s="1048">
        <f t="shared" si="80"/>
        <v>0</v>
      </c>
      <c r="L630" s="208"/>
      <c r="M630" s="209"/>
      <c r="N630" s="209"/>
      <c r="O630" s="209"/>
      <c r="P630" s="209"/>
      <c r="Q630" s="209"/>
      <c r="R630" s="209"/>
      <c r="S630" s="209"/>
      <c r="T630" s="209"/>
      <c r="U630" s="209"/>
      <c r="V630" s="209"/>
      <c r="W630" s="209"/>
    </row>
    <row r="631" spans="1:23" ht="11.25" customHeight="1" x14ac:dyDescent="0.25">
      <c r="A631" s="1165" t="s">
        <v>2449</v>
      </c>
      <c r="B631" s="1041"/>
      <c r="C631" s="1050">
        <v>0</v>
      </c>
      <c r="D631" s="1052">
        <v>0</v>
      </c>
      <c r="E631" s="1052"/>
      <c r="F631" s="1052">
        <v>0</v>
      </c>
      <c r="G631" s="1048">
        <v>0</v>
      </c>
      <c r="H631" s="1048">
        <f t="shared" si="78"/>
        <v>0</v>
      </c>
      <c r="I631" s="1052">
        <v>0</v>
      </c>
      <c r="J631" s="1048">
        <f t="shared" si="79"/>
        <v>0</v>
      </c>
      <c r="K631" s="1048">
        <f t="shared" si="80"/>
        <v>0</v>
      </c>
      <c r="L631" s="208"/>
      <c r="M631" s="209"/>
      <c r="N631" s="209"/>
      <c r="O631" s="209"/>
      <c r="P631" s="209"/>
      <c r="Q631" s="209"/>
      <c r="R631" s="209"/>
      <c r="S631" s="209"/>
      <c r="T631" s="209"/>
      <c r="U631" s="209"/>
      <c r="V631" s="209"/>
      <c r="W631" s="209"/>
    </row>
    <row r="632" spans="1:23" ht="11.25" customHeight="1" x14ac:dyDescent="0.25">
      <c r="A632" s="1165" t="s">
        <v>2571</v>
      </c>
      <c r="B632" s="1041"/>
      <c r="C632" s="1050">
        <v>0</v>
      </c>
      <c r="D632" s="1052">
        <v>77123.289999999994</v>
      </c>
      <c r="E632" s="1052"/>
      <c r="F632" s="1052">
        <v>0</v>
      </c>
      <c r="G632" s="1048">
        <v>0</v>
      </c>
      <c r="H632" s="1048">
        <f t="shared" si="78"/>
        <v>0</v>
      </c>
      <c r="I632" s="1052">
        <v>0</v>
      </c>
      <c r="J632" s="1048">
        <f t="shared" si="79"/>
        <v>0</v>
      </c>
      <c r="K632" s="1048">
        <f t="shared" si="80"/>
        <v>0</v>
      </c>
      <c r="L632" s="208"/>
      <c r="M632" s="209"/>
      <c r="N632" s="209"/>
      <c r="O632" s="209"/>
      <c r="P632" s="209"/>
      <c r="Q632" s="209"/>
      <c r="R632" s="209"/>
      <c r="S632" s="209"/>
      <c r="T632" s="209"/>
      <c r="U632" s="209"/>
      <c r="V632" s="209"/>
      <c r="W632" s="209"/>
    </row>
    <row r="633" spans="1:23" ht="11.25" customHeight="1" x14ac:dyDescent="0.25">
      <c r="A633" s="1165" t="s">
        <v>2572</v>
      </c>
      <c r="B633" s="1041"/>
      <c r="C633" s="1050">
        <v>0</v>
      </c>
      <c r="D633" s="1052">
        <v>56101.73</v>
      </c>
      <c r="E633" s="1052"/>
      <c r="F633" s="1052">
        <v>0</v>
      </c>
      <c r="G633" s="1048">
        <v>0</v>
      </c>
      <c r="H633" s="1048">
        <f t="shared" si="78"/>
        <v>0</v>
      </c>
      <c r="I633" s="1052">
        <v>0</v>
      </c>
      <c r="J633" s="1048">
        <f t="shared" si="79"/>
        <v>0</v>
      </c>
      <c r="K633" s="1048">
        <f t="shared" si="80"/>
        <v>0</v>
      </c>
      <c r="L633" s="208"/>
      <c r="M633" s="209"/>
      <c r="N633" s="209"/>
      <c r="O633" s="209"/>
      <c r="P633" s="209"/>
      <c r="Q633" s="209"/>
      <c r="R633" s="209"/>
      <c r="S633" s="209"/>
      <c r="T633" s="209"/>
      <c r="U633" s="209"/>
      <c r="V633" s="209"/>
      <c r="W633" s="209"/>
    </row>
    <row r="634" spans="1:23" ht="11.25" customHeight="1" x14ac:dyDescent="0.25">
      <c r="A634" s="1165" t="s">
        <v>2573</v>
      </c>
      <c r="B634" s="1041"/>
      <c r="C634" s="1050">
        <v>0</v>
      </c>
      <c r="D634" s="1052"/>
      <c r="E634" s="1052"/>
      <c r="F634" s="1052">
        <v>0</v>
      </c>
      <c r="G634" s="1048">
        <v>0</v>
      </c>
      <c r="H634" s="1048">
        <f t="shared" si="78"/>
        <v>0</v>
      </c>
      <c r="I634" s="1052">
        <v>0</v>
      </c>
      <c r="J634" s="1048">
        <f t="shared" si="79"/>
        <v>0</v>
      </c>
      <c r="K634" s="1048">
        <f t="shared" si="80"/>
        <v>0</v>
      </c>
      <c r="L634" s="208"/>
      <c r="M634" s="209"/>
      <c r="N634" s="209"/>
      <c r="O634" s="209"/>
      <c r="P634" s="209"/>
      <c r="Q634" s="209"/>
      <c r="R634" s="209"/>
      <c r="S634" s="209"/>
      <c r="T634" s="209"/>
      <c r="U634" s="209"/>
      <c r="V634" s="209"/>
      <c r="W634" s="209"/>
    </row>
    <row r="635" spans="1:23" ht="11.25" customHeight="1" x14ac:dyDescent="0.25">
      <c r="A635" s="1165" t="s">
        <v>2574</v>
      </c>
      <c r="B635" s="1041"/>
      <c r="C635" s="1050">
        <v>0</v>
      </c>
      <c r="D635" s="1052"/>
      <c r="E635" s="1052"/>
      <c r="F635" s="1052">
        <v>0</v>
      </c>
      <c r="G635" s="1048">
        <v>0</v>
      </c>
      <c r="H635" s="1048">
        <f t="shared" si="78"/>
        <v>0</v>
      </c>
      <c r="I635" s="1052">
        <v>0</v>
      </c>
      <c r="J635" s="1048">
        <f t="shared" si="79"/>
        <v>0</v>
      </c>
      <c r="K635" s="1048">
        <f t="shared" si="80"/>
        <v>0</v>
      </c>
      <c r="L635" s="208"/>
      <c r="M635" s="209"/>
      <c r="N635" s="209"/>
      <c r="O635" s="209"/>
      <c r="P635" s="209"/>
      <c r="Q635" s="209"/>
      <c r="R635" s="209"/>
      <c r="S635" s="209"/>
      <c r="T635" s="209"/>
      <c r="U635" s="209"/>
      <c r="V635" s="209"/>
      <c r="W635" s="209"/>
    </row>
    <row r="636" spans="1:23" ht="11.25" customHeight="1" x14ac:dyDescent="0.25">
      <c r="A636" s="1165" t="s">
        <v>2575</v>
      </c>
      <c r="B636" s="1041"/>
      <c r="C636" s="1050">
        <v>0</v>
      </c>
      <c r="D636" s="1052">
        <v>142401.41</v>
      </c>
      <c r="E636" s="1052"/>
      <c r="F636" s="1052">
        <v>0</v>
      </c>
      <c r="G636" s="1048">
        <v>0</v>
      </c>
      <c r="H636" s="1048">
        <f t="shared" si="78"/>
        <v>0</v>
      </c>
      <c r="I636" s="1052">
        <v>0</v>
      </c>
      <c r="J636" s="1048">
        <f t="shared" si="79"/>
        <v>0</v>
      </c>
      <c r="K636" s="1048">
        <f t="shared" si="80"/>
        <v>0</v>
      </c>
      <c r="L636" s="208"/>
      <c r="M636" s="209"/>
      <c r="N636" s="209"/>
      <c r="O636" s="209"/>
      <c r="P636" s="209"/>
      <c r="Q636" s="209"/>
      <c r="R636" s="209"/>
      <c r="S636" s="209"/>
      <c r="T636" s="209"/>
      <c r="U636" s="209"/>
      <c r="V636" s="209"/>
      <c r="W636" s="209"/>
    </row>
    <row r="637" spans="1:23" ht="11.25" customHeight="1" x14ac:dyDescent="0.25">
      <c r="A637" s="1165" t="s">
        <v>2576</v>
      </c>
      <c r="B637" s="1041"/>
      <c r="C637" s="1050">
        <v>0</v>
      </c>
      <c r="D637" s="1052">
        <v>115349</v>
      </c>
      <c r="E637" s="1052"/>
      <c r="F637" s="1052">
        <v>0</v>
      </c>
      <c r="G637" s="1048">
        <v>0</v>
      </c>
      <c r="H637" s="1048">
        <f t="shared" si="78"/>
        <v>0</v>
      </c>
      <c r="I637" s="1052">
        <v>0</v>
      </c>
      <c r="J637" s="1048">
        <f t="shared" si="79"/>
        <v>0</v>
      </c>
      <c r="K637" s="1048">
        <f t="shared" si="80"/>
        <v>0</v>
      </c>
      <c r="L637" s="208"/>
      <c r="M637" s="209"/>
      <c r="N637" s="209"/>
      <c r="O637" s="209"/>
      <c r="P637" s="209"/>
      <c r="Q637" s="209"/>
      <c r="R637" s="209"/>
      <c r="S637" s="209"/>
      <c r="T637" s="209"/>
      <c r="U637" s="209"/>
      <c r="V637" s="209"/>
      <c r="W637" s="209"/>
    </row>
    <row r="638" spans="1:23" ht="11.25" customHeight="1" x14ac:dyDescent="0.25">
      <c r="A638" s="1165" t="s">
        <v>2491</v>
      </c>
      <c r="B638" s="1041"/>
      <c r="C638" s="1050">
        <v>0</v>
      </c>
      <c r="D638" s="1052"/>
      <c r="E638" s="1052">
        <v>189333.81</v>
      </c>
      <c r="F638" s="1052">
        <v>0</v>
      </c>
      <c r="G638" s="1048">
        <v>0</v>
      </c>
      <c r="H638" s="1048">
        <f t="shared" si="78"/>
        <v>0</v>
      </c>
      <c r="I638" s="1052">
        <v>450000</v>
      </c>
      <c r="J638" s="1048">
        <f t="shared" si="79"/>
        <v>476550</v>
      </c>
      <c r="K638" s="1048">
        <f t="shared" si="80"/>
        <v>503236.80000000005</v>
      </c>
      <c r="L638" s="208"/>
      <c r="M638" s="209"/>
      <c r="N638" s="209"/>
      <c r="O638" s="209"/>
      <c r="P638" s="209"/>
      <c r="Q638" s="209"/>
      <c r="R638" s="209"/>
      <c r="S638" s="209"/>
      <c r="T638" s="209"/>
      <c r="U638" s="209"/>
      <c r="V638" s="209"/>
      <c r="W638" s="209"/>
    </row>
    <row r="639" spans="1:23" ht="11.25" customHeight="1" x14ac:dyDescent="0.25">
      <c r="A639" s="1165" t="s">
        <v>2577</v>
      </c>
      <c r="B639" s="1041"/>
      <c r="C639" s="1050">
        <v>0</v>
      </c>
      <c r="D639" s="1052"/>
      <c r="E639" s="1052"/>
      <c r="F639" s="1052">
        <v>0</v>
      </c>
      <c r="G639" s="1048">
        <v>0</v>
      </c>
      <c r="H639" s="1048">
        <f t="shared" si="78"/>
        <v>0</v>
      </c>
      <c r="I639" s="1052">
        <v>0</v>
      </c>
      <c r="J639" s="1048">
        <f t="shared" si="79"/>
        <v>0</v>
      </c>
      <c r="K639" s="1048">
        <f t="shared" si="80"/>
        <v>0</v>
      </c>
      <c r="L639" s="208"/>
      <c r="M639" s="209"/>
      <c r="N639" s="209"/>
      <c r="O639" s="209"/>
      <c r="P639" s="209"/>
      <c r="Q639" s="209"/>
      <c r="R639" s="209"/>
      <c r="S639" s="209"/>
      <c r="T639" s="209"/>
      <c r="U639" s="209"/>
      <c r="V639" s="209"/>
      <c r="W639" s="209"/>
    </row>
    <row r="640" spans="1:23" ht="11.25" customHeight="1" x14ac:dyDescent="0.25">
      <c r="A640" s="1165" t="s">
        <v>2578</v>
      </c>
      <c r="B640" s="1041"/>
      <c r="C640" s="1050">
        <v>0</v>
      </c>
      <c r="D640" s="1052">
        <v>36637.120000000003</v>
      </c>
      <c r="E640" s="1052"/>
      <c r="F640" s="1052">
        <v>0</v>
      </c>
      <c r="G640" s="1048">
        <v>0</v>
      </c>
      <c r="H640" s="1048">
        <f t="shared" si="78"/>
        <v>0</v>
      </c>
      <c r="I640" s="1052">
        <v>0</v>
      </c>
      <c r="J640" s="1048">
        <f t="shared" si="79"/>
        <v>0</v>
      </c>
      <c r="K640" s="1048">
        <f t="shared" si="80"/>
        <v>0</v>
      </c>
      <c r="L640" s="208"/>
      <c r="M640" s="209"/>
      <c r="N640" s="209"/>
      <c r="O640" s="209"/>
      <c r="P640" s="209"/>
      <c r="Q640" s="209"/>
      <c r="R640" s="209"/>
      <c r="S640" s="209"/>
      <c r="T640" s="209"/>
      <c r="U640" s="209"/>
      <c r="V640" s="209"/>
      <c r="W640" s="209"/>
    </row>
    <row r="641" spans="1:23" ht="11.25" customHeight="1" x14ac:dyDescent="0.25">
      <c r="A641" s="1165" t="s">
        <v>2782</v>
      </c>
      <c r="B641" s="1041"/>
      <c r="C641" s="1050">
        <v>0</v>
      </c>
      <c r="D641" s="1050">
        <v>0</v>
      </c>
      <c r="E641" s="1052"/>
      <c r="F641" s="1052">
        <v>0</v>
      </c>
      <c r="G641" s="1048">
        <v>0</v>
      </c>
      <c r="H641" s="1048">
        <f t="shared" si="78"/>
        <v>0</v>
      </c>
      <c r="I641" s="1052">
        <v>0</v>
      </c>
      <c r="J641" s="1048">
        <f t="shared" si="79"/>
        <v>0</v>
      </c>
      <c r="K641" s="1048">
        <f t="shared" si="80"/>
        <v>0</v>
      </c>
      <c r="L641" s="208"/>
      <c r="M641" s="209"/>
      <c r="N641" s="209"/>
      <c r="O641" s="209"/>
      <c r="P641" s="209"/>
      <c r="Q641" s="209"/>
      <c r="R641" s="209"/>
      <c r="S641" s="209"/>
      <c r="T641" s="209"/>
      <c r="U641" s="209"/>
      <c r="V641" s="209"/>
      <c r="W641" s="209"/>
    </row>
    <row r="642" spans="1:23" ht="11.25" customHeight="1" x14ac:dyDescent="0.25">
      <c r="A642" s="1165" t="s">
        <v>2579</v>
      </c>
      <c r="B642" s="1041"/>
      <c r="C642" s="1050">
        <v>0</v>
      </c>
      <c r="D642" s="1050">
        <v>0</v>
      </c>
      <c r="E642" s="1052">
        <v>69482.03</v>
      </c>
      <c r="F642" s="1052">
        <v>0</v>
      </c>
      <c r="G642" s="1048">
        <v>0</v>
      </c>
      <c r="H642" s="1048">
        <f t="shared" si="78"/>
        <v>0</v>
      </c>
      <c r="I642" s="1052">
        <v>0</v>
      </c>
      <c r="J642" s="1048">
        <f t="shared" si="79"/>
        <v>0</v>
      </c>
      <c r="K642" s="1048">
        <f t="shared" si="80"/>
        <v>0</v>
      </c>
      <c r="L642" s="208"/>
      <c r="M642" s="209"/>
      <c r="N642" s="209"/>
      <c r="O642" s="209"/>
      <c r="P642" s="209"/>
      <c r="Q642" s="209"/>
      <c r="R642" s="209"/>
      <c r="S642" s="209"/>
      <c r="T642" s="209"/>
      <c r="U642" s="209"/>
      <c r="V642" s="209"/>
      <c r="W642" s="209"/>
    </row>
    <row r="643" spans="1:23" ht="11.25" customHeight="1" x14ac:dyDescent="0.25">
      <c r="A643" s="1165" t="s">
        <v>2580</v>
      </c>
      <c r="B643" s="1041"/>
      <c r="C643" s="1050">
        <v>0</v>
      </c>
      <c r="D643" s="1050">
        <v>0</v>
      </c>
      <c r="E643" s="1052">
        <v>34000</v>
      </c>
      <c r="F643" s="1052">
        <v>0</v>
      </c>
      <c r="G643" s="1048">
        <v>0</v>
      </c>
      <c r="H643" s="1048">
        <f t="shared" si="78"/>
        <v>0</v>
      </c>
      <c r="I643" s="1052">
        <v>0</v>
      </c>
      <c r="J643" s="1048">
        <f t="shared" si="79"/>
        <v>0</v>
      </c>
      <c r="K643" s="1048">
        <f t="shared" si="80"/>
        <v>0</v>
      </c>
      <c r="L643" s="208"/>
      <c r="M643" s="209"/>
      <c r="N643" s="209"/>
      <c r="O643" s="209"/>
      <c r="P643" s="209"/>
      <c r="Q643" s="209"/>
      <c r="R643" s="209"/>
      <c r="S643" s="209"/>
      <c r="T643" s="209"/>
      <c r="U643" s="209"/>
      <c r="V643" s="209"/>
      <c r="W643" s="209"/>
    </row>
    <row r="644" spans="1:23" ht="11.25" customHeight="1" x14ac:dyDescent="0.25">
      <c r="A644" s="1165" t="s">
        <v>2581</v>
      </c>
      <c r="B644" s="1041"/>
      <c r="C644" s="1050">
        <v>0</v>
      </c>
      <c r="D644" s="1050">
        <v>0</v>
      </c>
      <c r="E644" s="1052">
        <v>16000</v>
      </c>
      <c r="F644" s="1052">
        <v>40000</v>
      </c>
      <c r="G644" s="1048">
        <f>F644+-40000</f>
        <v>0</v>
      </c>
      <c r="H644" s="1048">
        <f t="shared" si="78"/>
        <v>0</v>
      </c>
      <c r="I644" s="1052">
        <v>0</v>
      </c>
      <c r="J644" s="1048">
        <f t="shared" si="79"/>
        <v>0</v>
      </c>
      <c r="K644" s="1048">
        <f t="shared" si="80"/>
        <v>0</v>
      </c>
      <c r="L644" s="208"/>
      <c r="M644" s="209"/>
      <c r="N644" s="209"/>
      <c r="O644" s="209"/>
      <c r="P644" s="209"/>
      <c r="Q644" s="209"/>
      <c r="R644" s="209"/>
      <c r="S644" s="209"/>
      <c r="T644" s="209"/>
      <c r="U644" s="209"/>
      <c r="V644" s="209"/>
      <c r="W644" s="209"/>
    </row>
    <row r="645" spans="1:23" ht="11.25" customHeight="1" x14ac:dyDescent="0.25">
      <c r="A645" s="1165" t="s">
        <v>2582</v>
      </c>
      <c r="B645" s="1041"/>
      <c r="C645" s="1050">
        <v>0</v>
      </c>
      <c r="D645" s="1050">
        <v>0</v>
      </c>
      <c r="E645" s="1052"/>
      <c r="F645" s="1052"/>
      <c r="G645" s="1048">
        <v>0</v>
      </c>
      <c r="H645" s="1048">
        <f t="shared" si="78"/>
        <v>0</v>
      </c>
      <c r="I645" s="1052">
        <v>0</v>
      </c>
      <c r="J645" s="1048">
        <f t="shared" si="79"/>
        <v>0</v>
      </c>
      <c r="K645" s="1048">
        <f t="shared" si="80"/>
        <v>0</v>
      </c>
      <c r="L645" s="208"/>
      <c r="M645" s="209"/>
      <c r="N645" s="209"/>
      <c r="O645" s="209"/>
      <c r="P645" s="209"/>
      <c r="Q645" s="209"/>
      <c r="R645" s="209"/>
      <c r="S645" s="209"/>
      <c r="T645" s="209"/>
      <c r="U645" s="209"/>
      <c r="V645" s="209"/>
      <c r="W645" s="209"/>
    </row>
    <row r="646" spans="1:23" ht="11.25" customHeight="1" x14ac:dyDescent="0.25">
      <c r="A646" s="1165" t="s">
        <v>2583</v>
      </c>
      <c r="B646" s="1041"/>
      <c r="C646" s="1050">
        <v>0</v>
      </c>
      <c r="D646" s="1050">
        <v>0</v>
      </c>
      <c r="E646" s="1052"/>
      <c r="F646" s="1052"/>
      <c r="G646" s="1048">
        <v>0</v>
      </c>
      <c r="H646" s="1048">
        <f t="shared" si="78"/>
        <v>0</v>
      </c>
      <c r="I646" s="1052">
        <v>0</v>
      </c>
      <c r="J646" s="1048">
        <f t="shared" si="79"/>
        <v>0</v>
      </c>
      <c r="K646" s="1048">
        <f t="shared" si="80"/>
        <v>0</v>
      </c>
      <c r="L646" s="208"/>
      <c r="M646" s="209"/>
      <c r="N646" s="209"/>
      <c r="O646" s="209"/>
      <c r="P646" s="209"/>
      <c r="Q646" s="209"/>
      <c r="R646" s="209"/>
      <c r="S646" s="209"/>
      <c r="T646" s="209"/>
      <c r="U646" s="209"/>
      <c r="V646" s="209"/>
      <c r="W646" s="209"/>
    </row>
    <row r="647" spans="1:23" ht="11.25" customHeight="1" x14ac:dyDescent="0.25">
      <c r="A647" s="1165" t="s">
        <v>2584</v>
      </c>
      <c r="B647" s="1041"/>
      <c r="C647" s="1050">
        <v>0</v>
      </c>
      <c r="D647" s="1050">
        <v>0</v>
      </c>
      <c r="E647" s="1052">
        <v>15990</v>
      </c>
      <c r="F647" s="1052"/>
      <c r="G647" s="1048">
        <v>0</v>
      </c>
      <c r="H647" s="1048">
        <f t="shared" si="78"/>
        <v>0</v>
      </c>
      <c r="I647" s="1052">
        <v>0</v>
      </c>
      <c r="J647" s="1048">
        <f t="shared" si="79"/>
        <v>0</v>
      </c>
      <c r="K647" s="1048">
        <f t="shared" si="80"/>
        <v>0</v>
      </c>
      <c r="L647" s="208"/>
      <c r="M647" s="209"/>
      <c r="N647" s="209"/>
      <c r="O647" s="209"/>
      <c r="P647" s="209"/>
      <c r="Q647" s="209"/>
      <c r="R647" s="209"/>
      <c r="S647" s="209"/>
      <c r="T647" s="209"/>
      <c r="U647" s="209"/>
      <c r="V647" s="209"/>
      <c r="W647" s="209"/>
    </row>
    <row r="648" spans="1:23" ht="11.25" customHeight="1" x14ac:dyDescent="0.25">
      <c r="A648" s="1165" t="s">
        <v>2585</v>
      </c>
      <c r="B648" s="1041"/>
      <c r="C648" s="1050">
        <v>0</v>
      </c>
      <c r="D648" s="1050">
        <v>0</v>
      </c>
      <c r="E648" s="1052"/>
      <c r="F648" s="1052">
        <v>0</v>
      </c>
      <c r="G648" s="1048">
        <v>0</v>
      </c>
      <c r="H648" s="1048">
        <f t="shared" si="78"/>
        <v>0</v>
      </c>
      <c r="I648" s="1052">
        <v>0</v>
      </c>
      <c r="J648" s="1048">
        <f t="shared" si="79"/>
        <v>0</v>
      </c>
      <c r="K648" s="1048">
        <f t="shared" si="80"/>
        <v>0</v>
      </c>
      <c r="L648" s="208"/>
      <c r="M648" s="209"/>
      <c r="N648" s="209"/>
      <c r="O648" s="209"/>
      <c r="P648" s="209"/>
      <c r="Q648" s="209"/>
      <c r="R648" s="209"/>
      <c r="S648" s="209"/>
      <c r="T648" s="209"/>
      <c r="U648" s="209"/>
      <c r="V648" s="209"/>
      <c r="W648" s="209"/>
    </row>
    <row r="649" spans="1:23" ht="11.25" customHeight="1" x14ac:dyDescent="0.25">
      <c r="A649" s="1165" t="s">
        <v>2586</v>
      </c>
      <c r="B649" s="1041"/>
      <c r="C649" s="1050">
        <v>0</v>
      </c>
      <c r="D649" s="1050">
        <v>0</v>
      </c>
      <c r="E649" s="1052"/>
      <c r="F649" s="1052">
        <v>0</v>
      </c>
      <c r="G649" s="1048">
        <v>0</v>
      </c>
      <c r="H649" s="1048">
        <f t="shared" si="78"/>
        <v>0</v>
      </c>
      <c r="I649" s="1052">
        <v>0</v>
      </c>
      <c r="J649" s="1048">
        <f t="shared" si="79"/>
        <v>0</v>
      </c>
      <c r="K649" s="1048">
        <f t="shared" si="80"/>
        <v>0</v>
      </c>
      <c r="L649" s="208"/>
      <c r="M649" s="209"/>
      <c r="N649" s="209"/>
      <c r="O649" s="209"/>
      <c r="P649" s="209"/>
      <c r="Q649" s="209"/>
      <c r="R649" s="209"/>
      <c r="S649" s="209"/>
      <c r="T649" s="209"/>
      <c r="U649" s="209"/>
      <c r="V649" s="209"/>
      <c r="W649" s="209"/>
    </row>
    <row r="650" spans="1:23" ht="11.25" customHeight="1" x14ac:dyDescent="0.25">
      <c r="A650" s="1165" t="s">
        <v>2587</v>
      </c>
      <c r="B650" s="1041"/>
      <c r="C650" s="1050">
        <v>0</v>
      </c>
      <c r="D650" s="1050">
        <v>0</v>
      </c>
      <c r="E650" s="1052"/>
      <c r="F650" s="1052">
        <v>0</v>
      </c>
      <c r="G650" s="1048">
        <v>0</v>
      </c>
      <c r="H650" s="1048">
        <f t="shared" si="78"/>
        <v>0</v>
      </c>
      <c r="I650" s="1052">
        <v>0</v>
      </c>
      <c r="J650" s="1048">
        <f t="shared" si="79"/>
        <v>0</v>
      </c>
      <c r="K650" s="1048">
        <f t="shared" si="80"/>
        <v>0</v>
      </c>
      <c r="L650" s="208"/>
      <c r="M650" s="209"/>
      <c r="N650" s="209"/>
      <c r="O650" s="209"/>
      <c r="P650" s="209"/>
      <c r="Q650" s="209"/>
      <c r="R650" s="209"/>
      <c r="S650" s="209"/>
      <c r="T650" s="209"/>
      <c r="U650" s="209"/>
      <c r="V650" s="209"/>
      <c r="W650" s="209"/>
    </row>
    <row r="651" spans="1:23" ht="11.25" customHeight="1" x14ac:dyDescent="0.25">
      <c r="A651" s="1165" t="s">
        <v>2588</v>
      </c>
      <c r="B651" s="1041"/>
      <c r="C651" s="1050">
        <v>0</v>
      </c>
      <c r="D651" s="1050">
        <v>0</v>
      </c>
      <c r="E651" s="1052">
        <v>53485.48</v>
      </c>
      <c r="F651" s="1052">
        <v>20000</v>
      </c>
      <c r="G651" s="1048">
        <f>F651+-20000</f>
        <v>0</v>
      </c>
      <c r="H651" s="1048">
        <f t="shared" si="78"/>
        <v>0</v>
      </c>
      <c r="I651" s="1052">
        <v>0</v>
      </c>
      <c r="J651" s="1048">
        <f t="shared" si="79"/>
        <v>0</v>
      </c>
      <c r="K651" s="1048">
        <f t="shared" si="80"/>
        <v>0</v>
      </c>
      <c r="L651" s="208"/>
      <c r="M651" s="209"/>
      <c r="N651" s="209"/>
      <c r="O651" s="209"/>
      <c r="P651" s="209"/>
      <c r="Q651" s="209"/>
      <c r="R651" s="209"/>
      <c r="S651" s="209"/>
      <c r="T651" s="209"/>
      <c r="U651" s="209"/>
      <c r="V651" s="209"/>
      <c r="W651" s="209"/>
    </row>
    <row r="652" spans="1:23" ht="11.25" customHeight="1" x14ac:dyDescent="0.25">
      <c r="A652" s="1165" t="s">
        <v>2589</v>
      </c>
      <c r="B652" s="1041"/>
      <c r="C652" s="1050">
        <v>0</v>
      </c>
      <c r="D652" s="1050">
        <v>0</v>
      </c>
      <c r="E652" s="1052"/>
      <c r="F652" s="1052">
        <v>0</v>
      </c>
      <c r="G652" s="1048">
        <v>0</v>
      </c>
      <c r="H652" s="1048">
        <f t="shared" si="78"/>
        <v>0</v>
      </c>
      <c r="I652" s="1052">
        <v>0</v>
      </c>
      <c r="J652" s="1048">
        <f t="shared" si="79"/>
        <v>0</v>
      </c>
      <c r="K652" s="1048">
        <f t="shared" si="80"/>
        <v>0</v>
      </c>
      <c r="L652" s="208"/>
      <c r="M652" s="209"/>
      <c r="N652" s="209"/>
      <c r="O652" s="209"/>
      <c r="P652" s="209"/>
      <c r="Q652" s="209"/>
      <c r="R652" s="209"/>
      <c r="S652" s="209"/>
      <c r="T652" s="209"/>
      <c r="U652" s="209"/>
      <c r="V652" s="209"/>
      <c r="W652" s="209"/>
    </row>
    <row r="653" spans="1:23" ht="11.25" customHeight="1" x14ac:dyDescent="0.25">
      <c r="A653" s="1165" t="s">
        <v>2590</v>
      </c>
      <c r="B653" s="1041"/>
      <c r="C653" s="1050">
        <v>0</v>
      </c>
      <c r="D653" s="1050">
        <v>0</v>
      </c>
      <c r="E653" s="1052"/>
      <c r="F653" s="1052">
        <v>0</v>
      </c>
      <c r="G653" s="1048">
        <v>0</v>
      </c>
      <c r="H653" s="1048">
        <f t="shared" si="78"/>
        <v>0</v>
      </c>
      <c r="I653" s="1052">
        <v>0</v>
      </c>
      <c r="J653" s="1048">
        <f t="shared" si="79"/>
        <v>0</v>
      </c>
      <c r="K653" s="1048">
        <f t="shared" si="80"/>
        <v>0</v>
      </c>
      <c r="L653" s="208"/>
      <c r="M653" s="209"/>
      <c r="N653" s="209"/>
      <c r="O653" s="209"/>
      <c r="P653" s="209"/>
      <c r="Q653" s="209"/>
      <c r="R653" s="209"/>
      <c r="S653" s="209"/>
      <c r="T653" s="209"/>
      <c r="U653" s="209"/>
      <c r="V653" s="209"/>
      <c r="W653" s="209"/>
    </row>
    <row r="654" spans="1:23" ht="11.25" customHeight="1" x14ac:dyDescent="0.25">
      <c r="A654" s="1165" t="s">
        <v>2591</v>
      </c>
      <c r="B654" s="1041"/>
      <c r="C654" s="1050">
        <v>0</v>
      </c>
      <c r="D654" s="1049">
        <v>0</v>
      </c>
      <c r="E654" s="1050"/>
      <c r="F654" s="1052">
        <v>0</v>
      </c>
      <c r="G654" s="1048">
        <v>0</v>
      </c>
      <c r="H654" s="1048">
        <f t="shared" si="78"/>
        <v>0</v>
      </c>
      <c r="I654" s="1052">
        <v>0</v>
      </c>
      <c r="J654" s="1048">
        <f t="shared" si="79"/>
        <v>0</v>
      </c>
      <c r="K654" s="1048">
        <f t="shared" si="80"/>
        <v>0</v>
      </c>
      <c r="L654" s="208"/>
      <c r="M654" s="209"/>
      <c r="N654" s="209"/>
      <c r="O654" s="209"/>
      <c r="P654" s="209"/>
      <c r="Q654" s="209"/>
      <c r="R654" s="209"/>
      <c r="S654" s="209"/>
      <c r="T654" s="209"/>
      <c r="U654" s="209"/>
      <c r="V654" s="209"/>
      <c r="W654" s="209"/>
    </row>
    <row r="655" spans="1:23" ht="11.25" customHeight="1" x14ac:dyDescent="0.25">
      <c r="A655" s="1165" t="s">
        <v>2615</v>
      </c>
      <c r="B655" s="1041"/>
      <c r="C655" s="1050">
        <v>0</v>
      </c>
      <c r="D655" s="1051">
        <v>0</v>
      </c>
      <c r="E655" s="1051">
        <v>2501396.9700000002</v>
      </c>
      <c r="F655" s="1050"/>
      <c r="G655" s="1048"/>
      <c r="H655" s="1051"/>
      <c r="I655" s="1052"/>
      <c r="J655" s="1048">
        <f t="shared" si="79"/>
        <v>0</v>
      </c>
      <c r="K655" s="1048">
        <f t="shared" si="80"/>
        <v>0</v>
      </c>
      <c r="L655" s="208"/>
      <c r="M655" s="209"/>
      <c r="N655" s="209"/>
      <c r="O655" s="209"/>
      <c r="P655" s="209"/>
      <c r="Q655" s="209"/>
      <c r="R655" s="209"/>
      <c r="S655" s="209"/>
      <c r="T655" s="209"/>
      <c r="U655" s="209"/>
      <c r="V655" s="209"/>
      <c r="W655" s="209"/>
    </row>
    <row r="656" spans="1:23" ht="11.25" customHeight="1" x14ac:dyDescent="0.25">
      <c r="A656" s="1165"/>
      <c r="B656" s="1041"/>
      <c r="C656" s="1048"/>
      <c r="D656" s="1048"/>
      <c r="E656" s="1049"/>
      <c r="F656" s="1050"/>
      <c r="G656" s="1048"/>
      <c r="H656" s="1051"/>
      <c r="I656" s="1052"/>
      <c r="J656" s="1048"/>
      <c r="K656" s="2677"/>
      <c r="L656" s="208"/>
      <c r="M656" s="209"/>
      <c r="N656" s="209"/>
      <c r="O656" s="209"/>
      <c r="P656" s="209"/>
      <c r="Q656" s="209"/>
      <c r="R656" s="209"/>
      <c r="S656" s="209"/>
      <c r="T656" s="209"/>
      <c r="U656" s="209"/>
      <c r="V656" s="209"/>
      <c r="W656" s="209"/>
    </row>
    <row r="657" spans="1:23" ht="11.25" customHeight="1" x14ac:dyDescent="0.25">
      <c r="A657" s="1165"/>
      <c r="B657" s="1041"/>
      <c r="C657" s="1048"/>
      <c r="D657" s="1048"/>
      <c r="E657" s="1049"/>
      <c r="F657" s="1050"/>
      <c r="G657" s="1048"/>
      <c r="H657" s="1051"/>
      <c r="I657" s="1052"/>
      <c r="J657" s="1048"/>
      <c r="K657" s="2677"/>
      <c r="L657" s="208"/>
      <c r="M657" s="209"/>
      <c r="N657" s="209"/>
      <c r="O657" s="209"/>
      <c r="P657" s="209"/>
      <c r="Q657" s="209"/>
      <c r="R657" s="209"/>
      <c r="S657" s="209"/>
      <c r="T657" s="209"/>
      <c r="U657" s="209"/>
      <c r="V657" s="209"/>
      <c r="W657" s="209"/>
    </row>
    <row r="658" spans="1:23" ht="11.25" customHeight="1" x14ac:dyDescent="0.25">
      <c r="A658" s="1165"/>
      <c r="B658" s="1041"/>
      <c r="C658" s="1048"/>
      <c r="D658" s="1048"/>
      <c r="E658" s="1049"/>
      <c r="F658" s="1050"/>
      <c r="G658" s="1048"/>
      <c r="H658" s="1051"/>
      <c r="I658" s="1052"/>
      <c r="J658" s="1048"/>
      <c r="K658" s="2677"/>
      <c r="L658" s="208"/>
      <c r="M658" s="209"/>
      <c r="N658" s="209"/>
      <c r="O658" s="209"/>
      <c r="P658" s="209"/>
      <c r="Q658" s="209"/>
      <c r="R658" s="209"/>
      <c r="S658" s="209"/>
      <c r="T658" s="209"/>
      <c r="U658" s="209"/>
      <c r="V658" s="209"/>
      <c r="W658" s="209"/>
    </row>
    <row r="659" spans="1:23" ht="11.25" customHeight="1" x14ac:dyDescent="0.25">
      <c r="A659" s="1165">
        <f>A132</f>
        <v>0</v>
      </c>
      <c r="B659" s="1041"/>
      <c r="C659" s="1048"/>
      <c r="D659" s="1048"/>
      <c r="E659" s="1049"/>
      <c r="F659" s="1050"/>
      <c r="G659" s="1048"/>
      <c r="H659" s="1051"/>
      <c r="I659" s="1052"/>
      <c r="J659" s="1048"/>
      <c r="K659" s="2677"/>
      <c r="L659" s="208"/>
      <c r="M659" s="209"/>
      <c r="N659" s="209"/>
      <c r="O659" s="209"/>
      <c r="P659" s="209"/>
      <c r="Q659" s="209"/>
      <c r="R659" s="209"/>
      <c r="S659" s="209"/>
      <c r="T659" s="209"/>
      <c r="U659" s="209"/>
      <c r="V659" s="209"/>
      <c r="W659" s="209"/>
    </row>
    <row r="660" spans="1:23" ht="11.25" customHeight="1" x14ac:dyDescent="0.25">
      <c r="A660" s="1165">
        <f>A133</f>
        <v>0</v>
      </c>
      <c r="B660" s="1041"/>
      <c r="C660" s="1048"/>
      <c r="D660" s="1048"/>
      <c r="E660" s="1049"/>
      <c r="F660" s="1050"/>
      <c r="G660" s="1048"/>
      <c r="H660" s="1051"/>
      <c r="I660" s="1052"/>
      <c r="J660" s="1048"/>
      <c r="K660" s="2677"/>
      <c r="L660" s="208"/>
      <c r="M660" s="209"/>
      <c r="N660" s="209"/>
      <c r="O660" s="209"/>
      <c r="P660" s="209"/>
      <c r="Q660" s="209"/>
      <c r="R660" s="209"/>
      <c r="S660" s="209"/>
      <c r="T660" s="209"/>
      <c r="U660" s="209"/>
      <c r="V660" s="209"/>
      <c r="W660" s="209"/>
    </row>
    <row r="661" spans="1:23" ht="15" customHeight="1" x14ac:dyDescent="0.25">
      <c r="A661" s="1164" t="str">
        <f>A134</f>
        <v>Vote 14 - 108 PUBLIC SAFETY &amp; ROADS</v>
      </c>
      <c r="B661" s="1041"/>
      <c r="C661" s="971">
        <f t="shared" ref="C661:K661" si="81">SUM(C662:C690)</f>
        <v>0</v>
      </c>
      <c r="D661" s="971">
        <f t="shared" si="81"/>
        <v>3873601.7800000003</v>
      </c>
      <c r="E661" s="972">
        <f t="shared" si="81"/>
        <v>4307989.6300000008</v>
      </c>
      <c r="F661" s="973">
        <f t="shared" si="81"/>
        <v>4249381</v>
      </c>
      <c r="G661" s="971">
        <f t="shared" si="81"/>
        <v>4196600.5100000007</v>
      </c>
      <c r="H661" s="974">
        <f t="shared" si="81"/>
        <v>4196600.5100000007</v>
      </c>
      <c r="I661" s="975">
        <f t="shared" si="81"/>
        <v>23385851</v>
      </c>
      <c r="J661" s="971">
        <f t="shared" si="81"/>
        <v>24765616.208999999</v>
      </c>
      <c r="K661" s="971">
        <f t="shared" si="81"/>
        <v>26152490.716704</v>
      </c>
      <c r="L661" s="208"/>
      <c r="M661" s="209"/>
      <c r="N661" s="209"/>
      <c r="O661" s="209"/>
      <c r="P661" s="209"/>
      <c r="Q661" s="209"/>
      <c r="R661" s="209"/>
      <c r="S661" s="209"/>
      <c r="T661" s="209"/>
      <c r="U661" s="209"/>
      <c r="V661" s="209"/>
      <c r="W661" s="209"/>
    </row>
    <row r="662" spans="1:23" ht="11.25" customHeight="1" x14ac:dyDescent="0.25">
      <c r="A662" s="1165" t="s">
        <v>2375</v>
      </c>
      <c r="B662" s="1041"/>
      <c r="C662" s="1050">
        <v>0</v>
      </c>
      <c r="D662" s="1052">
        <v>2597465.9300000002</v>
      </c>
      <c r="E662" s="1052">
        <v>2828028.52</v>
      </c>
      <c r="F662" s="1052">
        <v>3000471</v>
      </c>
      <c r="G662" s="1048">
        <f>F662</f>
        <v>3000471</v>
      </c>
      <c r="H662" s="1048">
        <f>G662</f>
        <v>3000471</v>
      </c>
      <c r="I662" s="1052">
        <v>8535466</v>
      </c>
      <c r="J662" s="1048">
        <v>9039058.493999999</v>
      </c>
      <c r="K662" s="1048">
        <v>9545245.7696639989</v>
      </c>
      <c r="L662" s="208"/>
      <c r="M662" s="209"/>
      <c r="N662" s="209"/>
      <c r="O662" s="209"/>
      <c r="P662" s="209"/>
      <c r="Q662" s="209"/>
      <c r="R662" s="209"/>
      <c r="S662" s="209"/>
      <c r="T662" s="209"/>
      <c r="U662" s="209"/>
      <c r="V662" s="209"/>
      <c r="W662" s="209"/>
    </row>
    <row r="663" spans="1:23" ht="11.25" customHeight="1" x14ac:dyDescent="0.25">
      <c r="A663" s="1165" t="s">
        <v>2432</v>
      </c>
      <c r="B663" s="1041"/>
      <c r="C663" s="1050">
        <v>0</v>
      </c>
      <c r="D663" s="1052">
        <v>201061.94</v>
      </c>
      <c r="E663" s="1052">
        <v>234119.59</v>
      </c>
      <c r="F663" s="1052">
        <v>250039</v>
      </c>
      <c r="G663" s="1048">
        <f>F663+-82437.05</f>
        <v>167601.95000000001</v>
      </c>
      <c r="H663" s="1048">
        <f t="shared" ref="H663:H687" si="82">G663</f>
        <v>167601.95000000001</v>
      </c>
      <c r="I663" s="1052">
        <v>711289</v>
      </c>
      <c r="J663" s="1048">
        <v>753255.05099999998</v>
      </c>
      <c r="K663" s="1048">
        <v>795437.33385599998</v>
      </c>
      <c r="L663" s="208"/>
      <c r="M663" s="209"/>
      <c r="N663" s="209"/>
      <c r="O663" s="209"/>
      <c r="P663" s="209"/>
      <c r="Q663" s="209"/>
      <c r="R663" s="209"/>
      <c r="S663" s="209"/>
      <c r="T663" s="209"/>
      <c r="U663" s="209"/>
      <c r="V663" s="209"/>
      <c r="W663" s="209"/>
    </row>
    <row r="664" spans="1:23" ht="11.25" customHeight="1" x14ac:dyDescent="0.25">
      <c r="A664" s="1165" t="s">
        <v>2457</v>
      </c>
      <c r="B664" s="1041"/>
      <c r="C664" s="1050">
        <v>0</v>
      </c>
      <c r="D664" s="1052">
        <v>2148.35</v>
      </c>
      <c r="E664" s="1052">
        <v>1295.4000000000001</v>
      </c>
      <c r="F664" s="1052">
        <v>1195</v>
      </c>
      <c r="G664" s="1048">
        <f>F664+305</f>
        <v>1500</v>
      </c>
      <c r="H664" s="1048">
        <f t="shared" si="82"/>
        <v>1500</v>
      </c>
      <c r="I664" s="1052">
        <v>4263</v>
      </c>
      <c r="J664" s="1048">
        <v>4514.5169999999998</v>
      </c>
      <c r="K664" s="1048">
        <v>4767.329952</v>
      </c>
      <c r="L664" s="208"/>
      <c r="M664" s="209"/>
      <c r="N664" s="209"/>
      <c r="O664" s="209"/>
      <c r="P664" s="209"/>
      <c r="Q664" s="209"/>
      <c r="R664" s="209"/>
      <c r="S664" s="209"/>
      <c r="T664" s="209"/>
      <c r="U664" s="209"/>
      <c r="V664" s="209"/>
      <c r="W664" s="209"/>
    </row>
    <row r="665" spans="1:23" ht="11.25" customHeight="1" x14ac:dyDescent="0.25">
      <c r="A665" s="1165" t="s">
        <v>2434</v>
      </c>
      <c r="B665" s="1041"/>
      <c r="C665" s="1050">
        <v>0</v>
      </c>
      <c r="D665" s="1052">
        <v>49451</v>
      </c>
      <c r="E665" s="1052">
        <v>25217.33</v>
      </c>
      <c r="F665" s="1052">
        <v>0</v>
      </c>
      <c r="G665" s="1048">
        <v>0</v>
      </c>
      <c r="H665" s="1048">
        <f t="shared" si="82"/>
        <v>0</v>
      </c>
      <c r="I665" s="1052">
        <v>0</v>
      </c>
      <c r="J665" s="1048">
        <f t="shared" ref="J665:J687" si="83">I665*1.059</f>
        <v>0</v>
      </c>
      <c r="K665" s="1048">
        <f t="shared" ref="K665:K687" si="84">J665*1.056</f>
        <v>0</v>
      </c>
      <c r="L665" s="208"/>
      <c r="M665" s="209"/>
      <c r="N665" s="209"/>
      <c r="O665" s="209"/>
      <c r="P665" s="209"/>
      <c r="Q665" s="209"/>
      <c r="R665" s="209"/>
      <c r="S665" s="209"/>
      <c r="T665" s="209"/>
      <c r="U665" s="209"/>
      <c r="V665" s="209"/>
      <c r="W665" s="209"/>
    </row>
    <row r="666" spans="1:23" ht="11.25" customHeight="1" x14ac:dyDescent="0.25">
      <c r="A666" s="1165" t="s">
        <v>2435</v>
      </c>
      <c r="B666" s="1041"/>
      <c r="C666" s="1050">
        <v>0</v>
      </c>
      <c r="D666" s="1052">
        <v>765</v>
      </c>
      <c r="E666" s="1052">
        <v>0</v>
      </c>
      <c r="F666" s="1052">
        <v>0</v>
      </c>
      <c r="G666" s="1048">
        <v>0</v>
      </c>
      <c r="H666" s="1048">
        <f t="shared" si="82"/>
        <v>0</v>
      </c>
      <c r="I666" s="1052">
        <v>0</v>
      </c>
      <c r="J666" s="1048">
        <f t="shared" si="83"/>
        <v>0</v>
      </c>
      <c r="K666" s="1048">
        <f t="shared" si="84"/>
        <v>0</v>
      </c>
      <c r="L666" s="208"/>
      <c r="M666" s="209"/>
      <c r="N666" s="209"/>
      <c r="O666" s="209"/>
      <c r="P666" s="209"/>
      <c r="Q666" s="209"/>
      <c r="R666" s="209"/>
      <c r="S666" s="209"/>
      <c r="T666" s="209"/>
      <c r="U666" s="209"/>
      <c r="V666" s="209"/>
      <c r="W666" s="209"/>
    </row>
    <row r="667" spans="1:23" ht="11.25" customHeight="1" x14ac:dyDescent="0.25">
      <c r="A667" s="1165" t="s">
        <v>2376</v>
      </c>
      <c r="B667" s="1041"/>
      <c r="C667" s="1050">
        <v>0</v>
      </c>
      <c r="D667" s="1052">
        <v>537124.32999999996</v>
      </c>
      <c r="E667" s="1052">
        <v>599687.16</v>
      </c>
      <c r="F667" s="1052">
        <v>639600</v>
      </c>
      <c r="G667" s="1048">
        <f>F667+10400</f>
        <v>650000</v>
      </c>
      <c r="H667" s="1048">
        <f t="shared" si="82"/>
        <v>650000</v>
      </c>
      <c r="I667" s="1052">
        <v>1738088</v>
      </c>
      <c r="J667" s="1048">
        <v>1840635.1919999998</v>
      </c>
      <c r="K667" s="1048">
        <v>1943710.7627519998</v>
      </c>
      <c r="L667" s="208"/>
      <c r="M667" s="209"/>
      <c r="N667" s="209"/>
      <c r="O667" s="209"/>
      <c r="P667" s="209"/>
      <c r="Q667" s="209"/>
      <c r="R667" s="209"/>
      <c r="S667" s="209"/>
      <c r="T667" s="209"/>
      <c r="U667" s="209"/>
      <c r="V667" s="209"/>
      <c r="W667" s="209"/>
    </row>
    <row r="668" spans="1:23" ht="11.25" customHeight="1" x14ac:dyDescent="0.25">
      <c r="A668" s="1165" t="s">
        <v>2377</v>
      </c>
      <c r="B668" s="1041"/>
      <c r="C668" s="1050">
        <v>0</v>
      </c>
      <c r="D668" s="1052">
        <v>266186.8</v>
      </c>
      <c r="E668" s="1052">
        <v>267411.92</v>
      </c>
      <c r="F668" s="1052">
        <v>262744</v>
      </c>
      <c r="G668" s="1048">
        <f>F668+37256</f>
        <v>300000</v>
      </c>
      <c r="H668" s="1048">
        <f t="shared" si="82"/>
        <v>300000</v>
      </c>
      <c r="I668" s="1052">
        <v>1209547</v>
      </c>
      <c r="J668" s="1048">
        <v>1280910.273</v>
      </c>
      <c r="K668" s="1048">
        <v>1352641.248288</v>
      </c>
      <c r="L668" s="208"/>
      <c r="M668" s="209"/>
      <c r="N668" s="209"/>
      <c r="O668" s="209"/>
      <c r="P668" s="209"/>
      <c r="Q668" s="209"/>
      <c r="R668" s="209"/>
      <c r="S668" s="209"/>
      <c r="T668" s="209"/>
      <c r="U668" s="209"/>
      <c r="V668" s="209"/>
      <c r="W668" s="209"/>
    </row>
    <row r="669" spans="1:23" ht="11.25" customHeight="1" x14ac:dyDescent="0.25">
      <c r="A669" s="1165" t="s">
        <v>2378</v>
      </c>
      <c r="B669" s="1041"/>
      <c r="C669" s="1050">
        <v>0</v>
      </c>
      <c r="D669" s="1052">
        <v>0</v>
      </c>
      <c r="E669" s="1052">
        <v>0</v>
      </c>
      <c r="F669" s="1052">
        <v>0</v>
      </c>
      <c r="G669" s="1048">
        <v>0</v>
      </c>
      <c r="H669" s="1048">
        <f t="shared" si="82"/>
        <v>0</v>
      </c>
      <c r="I669" s="1052">
        <v>0</v>
      </c>
      <c r="J669" s="1048">
        <f t="shared" si="83"/>
        <v>0</v>
      </c>
      <c r="K669" s="1048">
        <f t="shared" si="84"/>
        <v>0</v>
      </c>
      <c r="L669" s="208"/>
      <c r="M669" s="209"/>
      <c r="N669" s="209"/>
      <c r="O669" s="209"/>
      <c r="P669" s="209"/>
      <c r="Q669" s="209"/>
      <c r="R669" s="209"/>
      <c r="S669" s="209"/>
      <c r="T669" s="209"/>
      <c r="U669" s="209"/>
      <c r="V669" s="209"/>
      <c r="W669" s="209"/>
    </row>
    <row r="670" spans="1:23" ht="11.25" customHeight="1" x14ac:dyDescent="0.25">
      <c r="A670" s="1165" t="s">
        <v>2379</v>
      </c>
      <c r="B670" s="1041"/>
      <c r="C670" s="1050">
        <v>0</v>
      </c>
      <c r="D670" s="1052">
        <v>7557</v>
      </c>
      <c r="E670" s="1052">
        <v>9618</v>
      </c>
      <c r="F670" s="1052">
        <v>8244</v>
      </c>
      <c r="G670" s="1048">
        <f>F670+8244</f>
        <v>16488</v>
      </c>
      <c r="H670" s="1048">
        <f t="shared" si="82"/>
        <v>16488</v>
      </c>
      <c r="I670" s="1052">
        <v>16488</v>
      </c>
      <c r="J670" s="1048">
        <v>17460.791999999998</v>
      </c>
      <c r="K670" s="1048">
        <v>18438.596351999997</v>
      </c>
      <c r="L670" s="208"/>
      <c r="M670" s="209"/>
      <c r="N670" s="209"/>
      <c r="O670" s="209"/>
      <c r="P670" s="209"/>
      <c r="Q670" s="209"/>
      <c r="R670" s="209"/>
      <c r="S670" s="209"/>
      <c r="T670" s="209"/>
      <c r="U670" s="209"/>
      <c r="V670" s="209"/>
      <c r="W670" s="209"/>
    </row>
    <row r="671" spans="1:23" ht="11.25" customHeight="1" x14ac:dyDescent="0.25">
      <c r="A671" s="1165" t="s">
        <v>2592</v>
      </c>
      <c r="B671" s="1041"/>
      <c r="C671" s="1050">
        <v>0</v>
      </c>
      <c r="D671" s="1052">
        <v>53088</v>
      </c>
      <c r="E671" s="1052">
        <v>0</v>
      </c>
      <c r="F671" s="1052">
        <v>31000</v>
      </c>
      <c r="G671" s="1048">
        <f>F671+-31000</f>
        <v>0</v>
      </c>
      <c r="H671" s="1048">
        <f t="shared" si="82"/>
        <v>0</v>
      </c>
      <c r="I671" s="1052">
        <v>0</v>
      </c>
      <c r="J671" s="1048">
        <f t="shared" si="83"/>
        <v>0</v>
      </c>
      <c r="K671" s="1048">
        <f t="shared" si="84"/>
        <v>0</v>
      </c>
      <c r="L671" s="208"/>
      <c r="M671" s="209"/>
      <c r="N671" s="209"/>
      <c r="O671" s="209"/>
      <c r="P671" s="209"/>
      <c r="Q671" s="209"/>
      <c r="R671" s="209"/>
      <c r="S671" s="209"/>
      <c r="T671" s="209"/>
      <c r="U671" s="209"/>
      <c r="V671" s="209"/>
      <c r="W671" s="209"/>
    </row>
    <row r="672" spans="1:23" ht="11.25" customHeight="1" x14ac:dyDescent="0.25">
      <c r="A672" s="1165" t="s">
        <v>2380</v>
      </c>
      <c r="B672" s="1041"/>
      <c r="C672" s="1050">
        <v>0</v>
      </c>
      <c r="D672" s="1052">
        <v>22980.85</v>
      </c>
      <c r="E672" s="1052">
        <v>28168.16</v>
      </c>
      <c r="F672" s="1052">
        <v>23100</v>
      </c>
      <c r="G672" s="1048">
        <f>F672+4882.62</f>
        <v>27982.62</v>
      </c>
      <c r="H672" s="1048">
        <f t="shared" si="82"/>
        <v>27982.62</v>
      </c>
      <c r="I672" s="1052">
        <v>85355</v>
      </c>
      <c r="J672" s="1048">
        <v>90390.944999999992</v>
      </c>
      <c r="K672" s="1048">
        <v>95452.837919999991</v>
      </c>
      <c r="L672" s="208"/>
      <c r="M672" s="209"/>
      <c r="N672" s="209"/>
      <c r="O672" s="209"/>
      <c r="P672" s="209"/>
      <c r="Q672" s="209"/>
      <c r="R672" s="209"/>
      <c r="S672" s="209"/>
      <c r="T672" s="209"/>
      <c r="U672" s="209"/>
      <c r="V672" s="209"/>
      <c r="W672" s="209"/>
    </row>
    <row r="673" spans="1:23" ht="11.25" customHeight="1" x14ac:dyDescent="0.25">
      <c r="A673" s="1165" t="s">
        <v>2447</v>
      </c>
      <c r="B673" s="1041"/>
      <c r="C673" s="1050">
        <v>0</v>
      </c>
      <c r="D673" s="1050">
        <v>0</v>
      </c>
      <c r="E673" s="1050">
        <v>0</v>
      </c>
      <c r="F673" s="1052">
        <v>0</v>
      </c>
      <c r="G673" s="1048">
        <v>0</v>
      </c>
      <c r="H673" s="1048">
        <f t="shared" si="82"/>
        <v>0</v>
      </c>
      <c r="I673" s="1052">
        <v>0</v>
      </c>
      <c r="J673" s="1048">
        <f t="shared" si="83"/>
        <v>0</v>
      </c>
      <c r="K673" s="1048">
        <f t="shared" si="84"/>
        <v>0</v>
      </c>
      <c r="L673" s="208"/>
      <c r="M673" s="209"/>
      <c r="N673" s="209"/>
      <c r="O673" s="209"/>
      <c r="P673" s="209"/>
      <c r="Q673" s="209"/>
      <c r="R673" s="209"/>
      <c r="S673" s="209"/>
      <c r="T673" s="209"/>
      <c r="U673" s="209"/>
      <c r="V673" s="209"/>
      <c r="W673" s="209"/>
    </row>
    <row r="674" spans="1:23" ht="11.25" customHeight="1" x14ac:dyDescent="0.25">
      <c r="A674" s="1165" t="s">
        <v>2446</v>
      </c>
      <c r="B674" s="1041"/>
      <c r="C674" s="1050">
        <v>0</v>
      </c>
      <c r="D674" s="1050">
        <v>0</v>
      </c>
      <c r="E674" s="1050">
        <v>0</v>
      </c>
      <c r="F674" s="1052">
        <v>0</v>
      </c>
      <c r="G674" s="1048">
        <v>0</v>
      </c>
      <c r="H674" s="1048">
        <f t="shared" si="82"/>
        <v>0</v>
      </c>
      <c r="I674" s="1052">
        <v>0</v>
      </c>
      <c r="J674" s="1048">
        <f t="shared" si="83"/>
        <v>0</v>
      </c>
      <c r="K674" s="1048">
        <f t="shared" si="84"/>
        <v>0</v>
      </c>
      <c r="L674" s="208"/>
      <c r="M674" s="209"/>
      <c r="N674" s="209"/>
      <c r="O674" s="209"/>
      <c r="P674" s="209"/>
      <c r="Q674" s="209"/>
      <c r="R674" s="209"/>
      <c r="S674" s="209"/>
      <c r="T674" s="209"/>
      <c r="U674" s="209"/>
      <c r="V674" s="209"/>
      <c r="W674" s="209"/>
    </row>
    <row r="675" spans="1:23" ht="11.25" customHeight="1" x14ac:dyDescent="0.25">
      <c r="A675" s="1165" t="s">
        <v>2385</v>
      </c>
      <c r="B675" s="1041"/>
      <c r="C675" s="1050">
        <v>0</v>
      </c>
      <c r="D675" s="1050">
        <v>0</v>
      </c>
      <c r="E675" s="1050">
        <v>0</v>
      </c>
      <c r="F675" s="1052">
        <v>0</v>
      </c>
      <c r="G675" s="1048">
        <v>0</v>
      </c>
      <c r="H675" s="1048">
        <f t="shared" si="82"/>
        <v>0</v>
      </c>
      <c r="I675" s="1052">
        <v>0</v>
      </c>
      <c r="J675" s="1048">
        <f t="shared" si="83"/>
        <v>0</v>
      </c>
      <c r="K675" s="1048">
        <f t="shared" si="84"/>
        <v>0</v>
      </c>
      <c r="L675" s="208"/>
      <c r="M675" s="209"/>
      <c r="N675" s="209"/>
      <c r="O675" s="209"/>
      <c r="P675" s="209"/>
      <c r="Q675" s="209"/>
      <c r="R675" s="209"/>
      <c r="S675" s="209"/>
      <c r="T675" s="209"/>
      <c r="U675" s="209"/>
      <c r="V675" s="209"/>
      <c r="W675" s="209"/>
    </row>
    <row r="676" spans="1:23" ht="11.25" customHeight="1" x14ac:dyDescent="0.25">
      <c r="A676" s="1165" t="s">
        <v>2390</v>
      </c>
      <c r="B676" s="1041"/>
      <c r="C676" s="1050">
        <v>0</v>
      </c>
      <c r="D676" s="1052">
        <v>11743.23</v>
      </c>
      <c r="E676" s="1050">
        <v>0</v>
      </c>
      <c r="F676" s="1052">
        <v>0</v>
      </c>
      <c r="G676" s="1048">
        <v>0</v>
      </c>
      <c r="H676" s="1048">
        <f t="shared" si="82"/>
        <v>0</v>
      </c>
      <c r="I676" s="1052">
        <v>0</v>
      </c>
      <c r="J676" s="1048">
        <f t="shared" si="83"/>
        <v>0</v>
      </c>
      <c r="K676" s="1048">
        <f t="shared" si="84"/>
        <v>0</v>
      </c>
      <c r="L676" s="208"/>
      <c r="M676" s="209"/>
      <c r="N676" s="209"/>
      <c r="O676" s="209"/>
      <c r="P676" s="209"/>
      <c r="Q676" s="209"/>
      <c r="R676" s="209"/>
      <c r="S676" s="209"/>
      <c r="T676" s="209"/>
      <c r="U676" s="209"/>
      <c r="V676" s="209"/>
      <c r="W676" s="209"/>
    </row>
    <row r="677" spans="1:23" ht="11.25" customHeight="1" x14ac:dyDescent="0.25">
      <c r="A677" s="1165" t="s">
        <v>2391</v>
      </c>
      <c r="B677" s="1041"/>
      <c r="C677" s="1050">
        <v>0</v>
      </c>
      <c r="D677" s="1052">
        <v>29931.49</v>
      </c>
      <c r="E677" s="1052">
        <v>31757.33</v>
      </c>
      <c r="F677" s="1052">
        <v>32988</v>
      </c>
      <c r="G677" s="1048">
        <f>F677+-431.06</f>
        <v>32556.94</v>
      </c>
      <c r="H677" s="1048">
        <f t="shared" si="82"/>
        <v>32556.94</v>
      </c>
      <c r="I677" s="1052">
        <v>85355</v>
      </c>
      <c r="J677" s="1048">
        <v>90390.944999999992</v>
      </c>
      <c r="K677" s="1048">
        <v>95452.837919999991</v>
      </c>
      <c r="L677" s="208"/>
      <c r="M677" s="209"/>
      <c r="N677" s="209"/>
      <c r="O677" s="209"/>
      <c r="P677" s="209"/>
      <c r="Q677" s="209"/>
      <c r="R677" s="209"/>
      <c r="S677" s="209"/>
      <c r="T677" s="209"/>
      <c r="U677" s="209"/>
      <c r="V677" s="209"/>
      <c r="W677" s="209"/>
    </row>
    <row r="678" spans="1:23" ht="11.25" customHeight="1" x14ac:dyDescent="0.25">
      <c r="A678" s="1165" t="s">
        <v>2496</v>
      </c>
      <c r="B678" s="1041"/>
      <c r="C678" s="1050">
        <v>0</v>
      </c>
      <c r="D678" s="1052">
        <v>10145.709999999999</v>
      </c>
      <c r="E678" s="1052"/>
      <c r="F678" s="1052">
        <v>0</v>
      </c>
      <c r="G678" s="1048">
        <v>0</v>
      </c>
      <c r="H678" s="1048">
        <f t="shared" si="82"/>
        <v>0</v>
      </c>
      <c r="I678" s="1052">
        <v>0</v>
      </c>
      <c r="J678" s="1048">
        <f t="shared" si="83"/>
        <v>0</v>
      </c>
      <c r="K678" s="1048">
        <f t="shared" si="84"/>
        <v>0</v>
      </c>
      <c r="L678" s="208"/>
      <c r="M678" s="209"/>
      <c r="N678" s="209"/>
      <c r="O678" s="209"/>
      <c r="P678" s="209"/>
      <c r="Q678" s="209"/>
      <c r="R678" s="209"/>
      <c r="S678" s="209"/>
      <c r="T678" s="209"/>
      <c r="U678" s="209"/>
      <c r="V678" s="209"/>
      <c r="W678" s="209"/>
    </row>
    <row r="679" spans="1:23" ht="11.25" customHeight="1" x14ac:dyDescent="0.25">
      <c r="A679" s="1165" t="s">
        <v>2463</v>
      </c>
      <c r="B679" s="1041"/>
      <c r="C679" s="1050">
        <v>0</v>
      </c>
      <c r="D679" s="1050">
        <v>0</v>
      </c>
      <c r="E679" s="1052">
        <v>0</v>
      </c>
      <c r="F679" s="1052">
        <v>0</v>
      </c>
      <c r="G679" s="1048">
        <v>0</v>
      </c>
      <c r="H679" s="1048">
        <f t="shared" si="82"/>
        <v>0</v>
      </c>
      <c r="I679" s="1052">
        <v>0</v>
      </c>
      <c r="J679" s="1048">
        <f t="shared" si="83"/>
        <v>0</v>
      </c>
      <c r="K679" s="1048">
        <f t="shared" si="84"/>
        <v>0</v>
      </c>
      <c r="L679" s="208"/>
      <c r="M679" s="209"/>
      <c r="N679" s="209"/>
      <c r="O679" s="209"/>
      <c r="P679" s="209"/>
      <c r="Q679" s="209"/>
      <c r="R679" s="209"/>
      <c r="S679" s="209"/>
      <c r="T679" s="209"/>
      <c r="U679" s="209"/>
      <c r="V679" s="209"/>
      <c r="W679" s="209"/>
    </row>
    <row r="680" spans="1:23" ht="11.25" customHeight="1" x14ac:dyDescent="0.25">
      <c r="A680" s="1165" t="s">
        <v>2398</v>
      </c>
      <c r="B680" s="1041"/>
      <c r="C680" s="1050">
        <v>0</v>
      </c>
      <c r="D680" s="1050">
        <v>0</v>
      </c>
      <c r="E680" s="1050">
        <v>0</v>
      </c>
      <c r="F680" s="1052">
        <v>0</v>
      </c>
      <c r="G680" s="1048">
        <v>0</v>
      </c>
      <c r="H680" s="1048">
        <f t="shared" si="82"/>
        <v>0</v>
      </c>
      <c r="I680" s="1052">
        <v>0</v>
      </c>
      <c r="J680" s="1048">
        <f t="shared" si="83"/>
        <v>0</v>
      </c>
      <c r="K680" s="1048">
        <f t="shared" si="84"/>
        <v>0</v>
      </c>
      <c r="L680" s="208"/>
      <c r="M680" s="209"/>
      <c r="N680" s="209"/>
      <c r="O680" s="209"/>
      <c r="P680" s="209"/>
      <c r="Q680" s="209"/>
      <c r="R680" s="209"/>
      <c r="S680" s="209"/>
      <c r="T680" s="209"/>
      <c r="U680" s="209"/>
      <c r="V680" s="209"/>
      <c r="W680" s="209"/>
    </row>
    <row r="681" spans="1:23" ht="11.25" customHeight="1" x14ac:dyDescent="0.25">
      <c r="A681" s="1165" t="s">
        <v>2400</v>
      </c>
      <c r="B681" s="1041"/>
      <c r="C681" s="1050">
        <v>0</v>
      </c>
      <c r="D681" s="1050">
        <v>0</v>
      </c>
      <c r="E681" s="1050">
        <v>0</v>
      </c>
      <c r="F681" s="1052">
        <v>0</v>
      </c>
      <c r="G681" s="1048">
        <v>0</v>
      </c>
      <c r="H681" s="1048">
        <f t="shared" si="82"/>
        <v>0</v>
      </c>
      <c r="I681" s="1052">
        <v>0</v>
      </c>
      <c r="J681" s="1048">
        <f t="shared" si="83"/>
        <v>0</v>
      </c>
      <c r="K681" s="1048">
        <f t="shared" si="84"/>
        <v>0</v>
      </c>
      <c r="L681" s="208"/>
      <c r="M681" s="209"/>
      <c r="N681" s="209"/>
      <c r="O681" s="209"/>
      <c r="P681" s="209"/>
      <c r="Q681" s="209"/>
      <c r="R681" s="209"/>
      <c r="S681" s="209"/>
      <c r="T681" s="209"/>
      <c r="U681" s="209"/>
      <c r="V681" s="209"/>
      <c r="W681" s="209"/>
    </row>
    <row r="682" spans="1:23" ht="11.25" customHeight="1" x14ac:dyDescent="0.25">
      <c r="A682" s="1165" t="s">
        <v>2407</v>
      </c>
      <c r="B682" s="1041"/>
      <c r="C682" s="1050">
        <v>0</v>
      </c>
      <c r="D682" s="1050">
        <v>0</v>
      </c>
      <c r="E682" s="1050">
        <v>0</v>
      </c>
      <c r="F682" s="1052">
        <v>0</v>
      </c>
      <c r="G682" s="1048">
        <v>0</v>
      </c>
      <c r="H682" s="1048">
        <f t="shared" si="82"/>
        <v>0</v>
      </c>
      <c r="I682" s="1052">
        <v>0</v>
      </c>
      <c r="J682" s="1048">
        <f t="shared" si="83"/>
        <v>0</v>
      </c>
      <c r="K682" s="1048">
        <f t="shared" si="84"/>
        <v>0</v>
      </c>
      <c r="L682" s="208"/>
      <c r="M682" s="209"/>
      <c r="N682" s="209"/>
      <c r="O682" s="209"/>
      <c r="P682" s="209"/>
      <c r="Q682" s="209"/>
      <c r="R682" s="209"/>
      <c r="S682" s="209"/>
      <c r="T682" s="209"/>
      <c r="U682" s="209"/>
      <c r="V682" s="209"/>
      <c r="W682" s="209"/>
    </row>
    <row r="683" spans="1:23" ht="11.25" customHeight="1" x14ac:dyDescent="0.25">
      <c r="A683" s="1165" t="s">
        <v>2411</v>
      </c>
      <c r="B683" s="1041"/>
      <c r="C683" s="1050">
        <v>0</v>
      </c>
      <c r="D683" s="1050">
        <v>0</v>
      </c>
      <c r="E683" s="1050">
        <v>0</v>
      </c>
      <c r="F683" s="1052">
        <v>0</v>
      </c>
      <c r="G683" s="1048">
        <v>0</v>
      </c>
      <c r="H683" s="1048">
        <f t="shared" si="82"/>
        <v>0</v>
      </c>
      <c r="I683" s="1052">
        <v>0</v>
      </c>
      <c r="J683" s="1048">
        <f t="shared" si="83"/>
        <v>0</v>
      </c>
      <c r="K683" s="1048">
        <f t="shared" si="84"/>
        <v>0</v>
      </c>
      <c r="L683" s="208"/>
      <c r="M683" s="209"/>
      <c r="N683" s="209"/>
      <c r="O683" s="209"/>
      <c r="P683" s="209"/>
      <c r="Q683" s="209"/>
      <c r="R683" s="209"/>
      <c r="S683" s="209"/>
      <c r="T683" s="209"/>
      <c r="U683" s="209"/>
      <c r="V683" s="209"/>
      <c r="W683" s="209"/>
    </row>
    <row r="684" spans="1:23" ht="11.25" customHeight="1" x14ac:dyDescent="0.25">
      <c r="A684" s="1165" t="s">
        <v>2593</v>
      </c>
      <c r="B684" s="1041"/>
      <c r="C684" s="1050">
        <v>0</v>
      </c>
      <c r="D684" s="1052">
        <v>9410.1200000000008</v>
      </c>
      <c r="E684" s="1052">
        <v>1060.25</v>
      </c>
      <c r="F684" s="1052">
        <v>0</v>
      </c>
      <c r="G684" s="1048">
        <v>0</v>
      </c>
      <c r="H684" s="1048">
        <f t="shared" si="82"/>
        <v>0</v>
      </c>
      <c r="I684" s="1052">
        <v>0</v>
      </c>
      <c r="J684" s="1048">
        <f t="shared" si="83"/>
        <v>0</v>
      </c>
      <c r="K684" s="1048">
        <f t="shared" si="84"/>
        <v>0</v>
      </c>
      <c r="L684" s="208"/>
      <c r="M684" s="209"/>
      <c r="N684" s="209"/>
      <c r="O684" s="209"/>
      <c r="P684" s="209"/>
      <c r="Q684" s="209"/>
      <c r="R684" s="209"/>
      <c r="S684" s="209"/>
      <c r="T684" s="209"/>
      <c r="U684" s="209"/>
      <c r="V684" s="209"/>
      <c r="W684" s="209"/>
    </row>
    <row r="685" spans="1:23" ht="11.25" customHeight="1" x14ac:dyDescent="0.25">
      <c r="A685" s="1165" t="s">
        <v>2513</v>
      </c>
      <c r="B685" s="1041"/>
      <c r="C685" s="1050">
        <v>0</v>
      </c>
      <c r="D685" s="1052">
        <v>74542.03</v>
      </c>
      <c r="E685" s="1052">
        <v>69584.97</v>
      </c>
      <c r="F685" s="1052">
        <v>0</v>
      </c>
      <c r="G685" s="1048">
        <v>0</v>
      </c>
      <c r="H685" s="1048">
        <f t="shared" si="82"/>
        <v>0</v>
      </c>
      <c r="I685" s="1052">
        <v>0</v>
      </c>
      <c r="J685" s="1048">
        <f t="shared" si="83"/>
        <v>0</v>
      </c>
      <c r="K685" s="1048">
        <f t="shared" si="84"/>
        <v>0</v>
      </c>
      <c r="L685" s="208"/>
      <c r="M685" s="209"/>
      <c r="N685" s="209"/>
      <c r="O685" s="209"/>
      <c r="P685" s="209"/>
      <c r="Q685" s="209"/>
      <c r="R685" s="209"/>
      <c r="S685" s="209"/>
      <c r="T685" s="209"/>
      <c r="U685" s="209"/>
      <c r="V685" s="209"/>
      <c r="W685" s="209"/>
    </row>
    <row r="686" spans="1:23" ht="11.25" customHeight="1" x14ac:dyDescent="0.25">
      <c r="A686" s="1165" t="s">
        <v>2562</v>
      </c>
      <c r="B686" s="1041"/>
      <c r="C686" s="1050">
        <v>0</v>
      </c>
      <c r="D686" s="1052"/>
      <c r="E686" s="1052"/>
      <c r="F686" s="1052">
        <v>0</v>
      </c>
      <c r="G686" s="1048">
        <v>0</v>
      </c>
      <c r="H686" s="1048">
        <f t="shared" si="82"/>
        <v>0</v>
      </c>
      <c r="I686" s="1052">
        <v>11000000</v>
      </c>
      <c r="J686" s="1048">
        <f t="shared" si="83"/>
        <v>11649000</v>
      </c>
      <c r="K686" s="1048">
        <f t="shared" si="84"/>
        <v>12301344</v>
      </c>
      <c r="L686" s="208"/>
      <c r="M686" s="209"/>
      <c r="N686" s="209"/>
      <c r="O686" s="209"/>
      <c r="P686" s="209"/>
      <c r="Q686" s="209"/>
      <c r="R686" s="209"/>
      <c r="S686" s="209"/>
      <c r="T686" s="209"/>
      <c r="U686" s="209"/>
      <c r="V686" s="209"/>
      <c r="W686" s="209"/>
    </row>
    <row r="687" spans="1:23" ht="11.25" customHeight="1" x14ac:dyDescent="0.25">
      <c r="A687" s="1165" t="s">
        <v>2594</v>
      </c>
      <c r="B687" s="1041"/>
      <c r="C687" s="1050">
        <v>0</v>
      </c>
      <c r="D687" s="1052"/>
      <c r="E687" s="1049">
        <v>212041</v>
      </c>
      <c r="F687" s="1052">
        <v>0</v>
      </c>
      <c r="G687" s="1048">
        <v>0</v>
      </c>
      <c r="H687" s="1048">
        <f t="shared" si="82"/>
        <v>0</v>
      </c>
      <c r="I687" s="1052">
        <v>0</v>
      </c>
      <c r="J687" s="1048">
        <f t="shared" si="83"/>
        <v>0</v>
      </c>
      <c r="K687" s="1048">
        <f t="shared" si="84"/>
        <v>0</v>
      </c>
      <c r="L687" s="208"/>
      <c r="M687" s="209"/>
      <c r="N687" s="209"/>
      <c r="O687" s="209"/>
      <c r="P687" s="209"/>
      <c r="Q687" s="209"/>
      <c r="R687" s="209"/>
      <c r="S687" s="209"/>
      <c r="T687" s="209"/>
      <c r="U687" s="209"/>
      <c r="V687" s="209"/>
      <c r="W687" s="209"/>
    </row>
    <row r="688" spans="1:23" ht="11.25" customHeight="1" x14ac:dyDescent="0.25">
      <c r="A688" s="1165"/>
      <c r="B688" s="1041"/>
      <c r="C688" s="1050">
        <v>0</v>
      </c>
      <c r="D688" s="1048"/>
      <c r="E688" s="1049"/>
      <c r="F688" s="1050"/>
      <c r="G688" s="1048"/>
      <c r="H688" s="1051"/>
      <c r="I688" s="1052"/>
      <c r="J688" s="1048"/>
      <c r="K688" s="2677"/>
      <c r="L688" s="208"/>
      <c r="M688" s="209"/>
      <c r="N688" s="209"/>
      <c r="O688" s="209"/>
      <c r="P688" s="209"/>
      <c r="Q688" s="209"/>
      <c r="R688" s="209"/>
      <c r="S688" s="209"/>
      <c r="T688" s="209"/>
      <c r="U688" s="209"/>
      <c r="V688" s="209"/>
      <c r="W688" s="209"/>
    </row>
    <row r="689" spans="1:23" ht="11.25" customHeight="1" x14ac:dyDescent="0.25">
      <c r="A689" s="1165">
        <f>A141</f>
        <v>0</v>
      </c>
      <c r="B689" s="1041"/>
      <c r="C689" s="1048"/>
      <c r="D689" s="1048"/>
      <c r="E689" s="1049"/>
      <c r="F689" s="1050"/>
      <c r="G689" s="1048"/>
      <c r="H689" s="1051"/>
      <c r="I689" s="1052"/>
      <c r="J689" s="1048"/>
      <c r="K689" s="2677"/>
      <c r="L689" s="208"/>
      <c r="M689" s="209"/>
      <c r="N689" s="209"/>
      <c r="O689" s="209"/>
      <c r="P689" s="209"/>
      <c r="Q689" s="209"/>
      <c r="R689" s="209"/>
      <c r="S689" s="209"/>
      <c r="T689" s="209"/>
      <c r="U689" s="209"/>
      <c r="V689" s="209"/>
      <c r="W689" s="209"/>
    </row>
    <row r="690" spans="1:23" ht="11.25" customHeight="1" x14ac:dyDescent="0.25">
      <c r="A690" s="1165">
        <f>A142</f>
        <v>0</v>
      </c>
      <c r="B690" s="1041"/>
      <c r="C690" s="1048"/>
      <c r="D690" s="1048"/>
      <c r="E690" s="1049"/>
      <c r="F690" s="1050"/>
      <c r="G690" s="1048"/>
      <c r="H690" s="1051"/>
      <c r="I690" s="1052"/>
      <c r="J690" s="1048"/>
      <c r="K690" s="2677"/>
      <c r="L690" s="208"/>
      <c r="M690" s="209"/>
      <c r="N690" s="209"/>
      <c r="O690" s="209"/>
      <c r="P690" s="209"/>
      <c r="Q690" s="209"/>
      <c r="R690" s="209"/>
      <c r="S690" s="209"/>
      <c r="T690" s="209"/>
      <c r="U690" s="209"/>
      <c r="V690" s="209"/>
      <c r="W690" s="209"/>
    </row>
    <row r="691" spans="1:23" ht="15" customHeight="1" x14ac:dyDescent="0.25">
      <c r="A691" s="1164" t="str">
        <f>A143</f>
        <v>Vote 15 - 300 SPORTS,RECREATION ARTS,CULTURE AND PROPERTY SERVICES</v>
      </c>
      <c r="B691" s="1041"/>
      <c r="C691" s="971">
        <f t="shared" ref="C691:K691" si="85">SUM(C692:C706)</f>
        <v>0</v>
      </c>
      <c r="D691" s="971">
        <f t="shared" si="85"/>
        <v>668538.09</v>
      </c>
      <c r="E691" s="972">
        <f t="shared" si="85"/>
        <v>1205271.1499999999</v>
      </c>
      <c r="F691" s="973">
        <f t="shared" si="85"/>
        <v>310000</v>
      </c>
      <c r="G691" s="971">
        <f t="shared" si="85"/>
        <v>271111</v>
      </c>
      <c r="H691" s="974">
        <f t="shared" si="85"/>
        <v>271111</v>
      </c>
      <c r="I691" s="975">
        <f t="shared" si="85"/>
        <v>9029633</v>
      </c>
      <c r="J691" s="971">
        <f t="shared" si="85"/>
        <v>9562381.347000001</v>
      </c>
      <c r="K691" s="971">
        <f t="shared" si="85"/>
        <v>10097874.702431999</v>
      </c>
      <c r="L691" s="208"/>
      <c r="M691" s="209"/>
      <c r="N691" s="209"/>
      <c r="O691" s="209"/>
      <c r="P691" s="209"/>
      <c r="Q691" s="209"/>
      <c r="R691" s="209"/>
      <c r="S691" s="209"/>
      <c r="T691" s="209"/>
      <c r="U691" s="209"/>
      <c r="V691" s="209"/>
      <c r="W691" s="209"/>
    </row>
    <row r="692" spans="1:23" ht="11.25" customHeight="1" x14ac:dyDescent="0.25">
      <c r="A692" s="1165" t="s">
        <v>2375</v>
      </c>
      <c r="B692" s="1041"/>
      <c r="C692" s="1050">
        <v>0</v>
      </c>
      <c r="D692" s="1052">
        <v>0</v>
      </c>
      <c r="E692" s="1052">
        <v>0</v>
      </c>
      <c r="F692" s="1052">
        <v>0</v>
      </c>
      <c r="G692" s="1048">
        <v>0</v>
      </c>
      <c r="H692" s="1051">
        <v>0</v>
      </c>
      <c r="I692" s="1052">
        <v>6312071</v>
      </c>
      <c r="J692" s="1048">
        <v>6684483.1889999993</v>
      </c>
      <c r="K692" s="1048">
        <v>7058814.2475839993</v>
      </c>
      <c r="L692" s="208"/>
      <c r="M692" s="209"/>
      <c r="N692" s="209"/>
      <c r="O692" s="209"/>
      <c r="P692" s="209"/>
      <c r="Q692" s="209"/>
      <c r="R692" s="209"/>
      <c r="S692" s="209"/>
      <c r="T692" s="209"/>
      <c r="U692" s="209"/>
      <c r="V692" s="209"/>
      <c r="W692" s="209"/>
    </row>
    <row r="693" spans="1:23" ht="11.25" customHeight="1" x14ac:dyDescent="0.25">
      <c r="A693" s="1165" t="s">
        <v>2432</v>
      </c>
      <c r="B693" s="1041"/>
      <c r="C693" s="1050">
        <v>0</v>
      </c>
      <c r="D693" s="1052">
        <v>0</v>
      </c>
      <c r="E693" s="1052">
        <v>0</v>
      </c>
      <c r="F693" s="1052">
        <v>0</v>
      </c>
      <c r="G693" s="1048">
        <v>0</v>
      </c>
      <c r="H693" s="1051">
        <v>0</v>
      </c>
      <c r="I693" s="1052">
        <v>526006</v>
      </c>
      <c r="J693" s="1048">
        <v>557040.35399999993</v>
      </c>
      <c r="K693" s="1048">
        <v>588234.613824</v>
      </c>
      <c r="L693" s="208"/>
      <c r="M693" s="209"/>
      <c r="N693" s="209"/>
      <c r="O693" s="209"/>
      <c r="P693" s="209"/>
      <c r="Q693" s="209"/>
      <c r="R693" s="209"/>
      <c r="S693" s="209"/>
      <c r="T693" s="209"/>
      <c r="U693" s="209"/>
      <c r="V693" s="209"/>
      <c r="W693" s="209"/>
    </row>
    <row r="694" spans="1:23" ht="11.25" customHeight="1" x14ac:dyDescent="0.25">
      <c r="A694" s="1165" t="s">
        <v>2457</v>
      </c>
      <c r="B694" s="1041"/>
      <c r="C694" s="1050">
        <v>0</v>
      </c>
      <c r="D694" s="1052">
        <v>0</v>
      </c>
      <c r="E694" s="1052">
        <v>0</v>
      </c>
      <c r="F694" s="1052">
        <v>0</v>
      </c>
      <c r="G694" s="1048">
        <v>0</v>
      </c>
      <c r="H694" s="1051">
        <v>0</v>
      </c>
      <c r="I694" s="1052">
        <v>4785</v>
      </c>
      <c r="J694" s="1048">
        <v>5067.3149999999996</v>
      </c>
      <c r="K694" s="1048">
        <v>5351.08464</v>
      </c>
      <c r="L694" s="208"/>
      <c r="M694" s="209"/>
      <c r="N694" s="209"/>
      <c r="O694" s="209"/>
      <c r="P694" s="209"/>
      <c r="Q694" s="209"/>
      <c r="R694" s="209"/>
      <c r="S694" s="209"/>
      <c r="T694" s="209"/>
      <c r="U694" s="209"/>
      <c r="V694" s="209"/>
      <c r="W694" s="209"/>
    </row>
    <row r="695" spans="1:23" ht="11.25" customHeight="1" x14ac:dyDescent="0.25">
      <c r="A695" s="1165" t="s">
        <v>2376</v>
      </c>
      <c r="B695" s="1041"/>
      <c r="C695" s="1050">
        <v>0</v>
      </c>
      <c r="D695" s="1052">
        <v>0</v>
      </c>
      <c r="E695" s="1052">
        <v>0</v>
      </c>
      <c r="F695" s="1052">
        <v>0</v>
      </c>
      <c r="G695" s="1048">
        <v>0</v>
      </c>
      <c r="H695" s="1051">
        <v>0</v>
      </c>
      <c r="I695" s="1052">
        <v>1327659</v>
      </c>
      <c r="J695" s="1048">
        <v>1405990.8809999998</v>
      </c>
      <c r="K695" s="1048">
        <v>1484726.3703359999</v>
      </c>
      <c r="L695" s="208"/>
      <c r="M695" s="209"/>
      <c r="N695" s="209"/>
      <c r="O695" s="209"/>
      <c r="P695" s="209"/>
      <c r="Q695" s="209"/>
      <c r="R695" s="209"/>
      <c r="S695" s="209"/>
      <c r="T695" s="209"/>
      <c r="U695" s="209"/>
      <c r="V695" s="209"/>
      <c r="W695" s="209"/>
    </row>
    <row r="696" spans="1:23" ht="11.25" customHeight="1" x14ac:dyDescent="0.25">
      <c r="A696" s="1165" t="s">
        <v>2377</v>
      </c>
      <c r="B696" s="1041"/>
      <c r="C696" s="1050">
        <v>0</v>
      </c>
      <c r="D696" s="1052">
        <v>0</v>
      </c>
      <c r="E696" s="1052">
        <v>0</v>
      </c>
      <c r="F696" s="1052">
        <v>0</v>
      </c>
      <c r="G696" s="1048">
        <v>0</v>
      </c>
      <c r="H696" s="1051">
        <v>0</v>
      </c>
      <c r="I696" s="1052">
        <v>573270</v>
      </c>
      <c r="J696" s="1048">
        <v>607092.92999999993</v>
      </c>
      <c r="K696" s="1048">
        <v>641090.13407999999</v>
      </c>
      <c r="L696" s="208"/>
      <c r="M696" s="209"/>
      <c r="N696" s="209"/>
      <c r="O696" s="209"/>
      <c r="P696" s="209"/>
      <c r="Q696" s="209"/>
      <c r="R696" s="209"/>
      <c r="S696" s="209"/>
      <c r="T696" s="209"/>
      <c r="U696" s="209"/>
      <c r="V696" s="209"/>
      <c r="W696" s="209"/>
    </row>
    <row r="697" spans="1:23" ht="11.25" customHeight="1" x14ac:dyDescent="0.25">
      <c r="A697" s="1165" t="s">
        <v>2380</v>
      </c>
      <c r="B697" s="1041"/>
      <c r="C697" s="1050">
        <v>0</v>
      </c>
      <c r="D697" s="1052">
        <v>0</v>
      </c>
      <c r="E697" s="1052">
        <v>0</v>
      </c>
      <c r="F697" s="1052">
        <v>0</v>
      </c>
      <c r="G697" s="1048">
        <v>0</v>
      </c>
      <c r="H697" s="1051">
        <v>0</v>
      </c>
      <c r="I697" s="1052">
        <v>63121</v>
      </c>
      <c r="J697" s="1048">
        <v>66845.138999999996</v>
      </c>
      <c r="K697" s="1048">
        <v>70588.466784000004</v>
      </c>
      <c r="L697" s="208"/>
      <c r="M697" s="209"/>
      <c r="N697" s="209"/>
      <c r="O697" s="209"/>
      <c r="P697" s="209"/>
      <c r="Q697" s="209"/>
      <c r="R697" s="209"/>
      <c r="S697" s="209"/>
      <c r="T697" s="209"/>
      <c r="U697" s="209"/>
      <c r="V697" s="209"/>
      <c r="W697" s="209"/>
    </row>
    <row r="698" spans="1:23" ht="11.25" customHeight="1" x14ac:dyDescent="0.25">
      <c r="A698" s="1165" t="s">
        <v>2447</v>
      </c>
      <c r="B698" s="1041"/>
      <c r="C698" s="1050">
        <v>0</v>
      </c>
      <c r="D698" s="1052">
        <v>0</v>
      </c>
      <c r="E698" s="1052">
        <v>0</v>
      </c>
      <c r="F698" s="1052">
        <v>0</v>
      </c>
      <c r="G698" s="1048">
        <v>0</v>
      </c>
      <c r="H698" s="1051">
        <v>0</v>
      </c>
      <c r="I698" s="1052">
        <v>0</v>
      </c>
      <c r="J698" s="1048">
        <f t="shared" ref="J698:J705" si="86">I698*1.059</f>
        <v>0</v>
      </c>
      <c r="K698" s="1048">
        <f t="shared" ref="K698:K705" si="87">J698*1.056</f>
        <v>0</v>
      </c>
      <c r="L698" s="208"/>
      <c r="M698" s="209"/>
      <c r="N698" s="209"/>
      <c r="O698" s="209"/>
      <c r="P698" s="209"/>
      <c r="Q698" s="209"/>
      <c r="R698" s="209"/>
      <c r="S698" s="209"/>
      <c r="T698" s="209"/>
      <c r="U698" s="209"/>
      <c r="V698" s="209"/>
      <c r="W698" s="209"/>
    </row>
    <row r="699" spans="1:23" ht="11.25" customHeight="1" x14ac:dyDescent="0.25">
      <c r="A699" s="1165" t="s">
        <v>2446</v>
      </c>
      <c r="B699" s="1041"/>
      <c r="C699" s="1050">
        <v>0</v>
      </c>
      <c r="D699" s="1052">
        <v>0</v>
      </c>
      <c r="E699" s="1052">
        <v>0</v>
      </c>
      <c r="F699" s="1052">
        <v>0</v>
      </c>
      <c r="G699" s="1048">
        <v>0</v>
      </c>
      <c r="H699" s="1051">
        <v>0</v>
      </c>
      <c r="I699" s="1052">
        <v>9600</v>
      </c>
      <c r="J699" s="1048">
        <v>10166.4</v>
      </c>
      <c r="K699" s="1048">
        <v>10735.7184</v>
      </c>
      <c r="L699" s="208"/>
      <c r="M699" s="209"/>
      <c r="N699" s="209"/>
      <c r="O699" s="209"/>
      <c r="P699" s="209"/>
      <c r="Q699" s="209"/>
      <c r="R699" s="209"/>
      <c r="S699" s="209"/>
      <c r="T699" s="209"/>
      <c r="U699" s="209"/>
      <c r="V699" s="209"/>
      <c r="W699" s="209"/>
    </row>
    <row r="700" spans="1:23" ht="11.25" customHeight="1" x14ac:dyDescent="0.25">
      <c r="A700" s="1165" t="s">
        <v>2391</v>
      </c>
      <c r="B700" s="1041"/>
      <c r="C700" s="1050">
        <v>0</v>
      </c>
      <c r="D700" s="1052">
        <v>0</v>
      </c>
      <c r="E700" s="1052">
        <v>0</v>
      </c>
      <c r="F700" s="1052">
        <v>0</v>
      </c>
      <c r="G700" s="1048">
        <v>0</v>
      </c>
      <c r="H700" s="1051">
        <v>0</v>
      </c>
      <c r="I700" s="1052">
        <v>63121</v>
      </c>
      <c r="J700" s="1048">
        <v>66845.138999999996</v>
      </c>
      <c r="K700" s="1048">
        <v>70588.466784000004</v>
      </c>
      <c r="L700" s="208"/>
      <c r="M700" s="209"/>
      <c r="N700" s="209"/>
      <c r="O700" s="209"/>
      <c r="P700" s="209"/>
      <c r="Q700" s="209"/>
      <c r="R700" s="209"/>
      <c r="S700" s="209"/>
      <c r="T700" s="209"/>
      <c r="U700" s="209"/>
      <c r="V700" s="209"/>
      <c r="W700" s="209"/>
    </row>
    <row r="701" spans="1:23" ht="11.25" customHeight="1" x14ac:dyDescent="0.25">
      <c r="A701" s="1165" t="s">
        <v>2595</v>
      </c>
      <c r="B701" s="1041"/>
      <c r="C701" s="1050">
        <v>0</v>
      </c>
      <c r="D701" s="1052">
        <f>[5]TB!$E$463</f>
        <v>645857.4</v>
      </c>
      <c r="E701" s="1052">
        <v>978804.63</v>
      </c>
      <c r="F701" s="1052">
        <v>100000</v>
      </c>
      <c r="G701" s="1048">
        <v>71111</v>
      </c>
      <c r="H701" s="1051">
        <v>71111</v>
      </c>
      <c r="I701" s="1052">
        <v>0</v>
      </c>
      <c r="J701" s="1048">
        <f t="shared" si="86"/>
        <v>0</v>
      </c>
      <c r="K701" s="1048">
        <f t="shared" si="87"/>
        <v>0</v>
      </c>
      <c r="L701" s="208"/>
      <c r="M701" s="209"/>
      <c r="N701" s="209"/>
      <c r="O701" s="209"/>
      <c r="P701" s="209"/>
      <c r="Q701" s="209"/>
      <c r="R701" s="209"/>
      <c r="S701" s="209"/>
      <c r="T701" s="209"/>
      <c r="U701" s="209"/>
      <c r="V701" s="209"/>
      <c r="W701" s="209"/>
    </row>
    <row r="702" spans="1:23" ht="11.25" customHeight="1" x14ac:dyDescent="0.25">
      <c r="A702" s="1165" t="s">
        <v>2596</v>
      </c>
      <c r="B702" s="1041"/>
      <c r="C702" s="1050">
        <v>0</v>
      </c>
      <c r="D702" s="1052">
        <v>0</v>
      </c>
      <c r="E702" s="1052">
        <v>0</v>
      </c>
      <c r="F702" s="1052">
        <v>0</v>
      </c>
      <c r="G702" s="1048">
        <v>0</v>
      </c>
      <c r="H702" s="1051">
        <v>0</v>
      </c>
      <c r="I702" s="1052">
        <v>0</v>
      </c>
      <c r="J702" s="1048">
        <f t="shared" si="86"/>
        <v>0</v>
      </c>
      <c r="K702" s="1048">
        <f t="shared" si="87"/>
        <v>0</v>
      </c>
      <c r="L702" s="208"/>
      <c r="M702" s="209"/>
      <c r="N702" s="209"/>
      <c r="O702" s="209"/>
      <c r="P702" s="209"/>
      <c r="Q702" s="209"/>
      <c r="R702" s="209"/>
      <c r="S702" s="209"/>
      <c r="T702" s="209"/>
      <c r="U702" s="209"/>
      <c r="V702" s="209"/>
      <c r="W702" s="209"/>
    </row>
    <row r="703" spans="1:23" ht="11.25" customHeight="1" x14ac:dyDescent="0.25">
      <c r="A703" s="1165" t="s">
        <v>2558</v>
      </c>
      <c r="B703" s="1041"/>
      <c r="C703" s="1051">
        <v>0</v>
      </c>
      <c r="D703" s="1050">
        <v>0</v>
      </c>
      <c r="E703" s="1052">
        <v>0</v>
      </c>
      <c r="F703" s="1052">
        <v>0</v>
      </c>
      <c r="G703" s="1048">
        <v>0</v>
      </c>
      <c r="H703" s="1051">
        <v>0</v>
      </c>
      <c r="I703" s="1052">
        <v>0</v>
      </c>
      <c r="J703" s="1048">
        <f t="shared" si="86"/>
        <v>0</v>
      </c>
      <c r="K703" s="1048">
        <f t="shared" si="87"/>
        <v>0</v>
      </c>
      <c r="L703" s="208"/>
      <c r="M703" s="209"/>
      <c r="N703" s="209"/>
      <c r="O703" s="209"/>
      <c r="P703" s="209"/>
      <c r="Q703" s="209"/>
      <c r="R703" s="209"/>
      <c r="S703" s="209"/>
      <c r="T703" s="209"/>
      <c r="U703" s="209"/>
      <c r="V703" s="209"/>
      <c r="W703" s="209"/>
    </row>
    <row r="704" spans="1:23" ht="11.25" customHeight="1" x14ac:dyDescent="0.25">
      <c r="A704" s="1165" t="s">
        <v>2597</v>
      </c>
      <c r="B704" s="1041"/>
      <c r="C704" s="1048">
        <v>0</v>
      </c>
      <c r="D704" s="1048">
        <f>[5]TB!$E$465</f>
        <v>5701.75</v>
      </c>
      <c r="E704" s="1052">
        <v>8000</v>
      </c>
      <c r="F704" s="1052">
        <v>10000</v>
      </c>
      <c r="G704" s="1048">
        <v>0</v>
      </c>
      <c r="H704" s="1051">
        <v>0</v>
      </c>
      <c r="I704" s="1052">
        <v>0</v>
      </c>
      <c r="J704" s="1048">
        <f t="shared" si="86"/>
        <v>0</v>
      </c>
      <c r="K704" s="1048">
        <f t="shared" si="87"/>
        <v>0</v>
      </c>
      <c r="L704" s="208"/>
      <c r="M704" s="209"/>
      <c r="N704" s="209"/>
      <c r="O704" s="209"/>
      <c r="P704" s="209"/>
      <c r="Q704" s="209"/>
      <c r="R704" s="209"/>
      <c r="S704" s="209"/>
      <c r="T704" s="209"/>
      <c r="U704" s="209"/>
      <c r="V704" s="209"/>
      <c r="W704" s="209"/>
    </row>
    <row r="705" spans="1:23" ht="11.25" customHeight="1" x14ac:dyDescent="0.25">
      <c r="A705" s="1165" t="s">
        <v>2598</v>
      </c>
      <c r="B705" s="1041"/>
      <c r="C705" s="1048">
        <v>0</v>
      </c>
      <c r="D705" s="1048">
        <f>[5]TB!$E$464</f>
        <v>16978.939999999999</v>
      </c>
      <c r="E705" s="1052">
        <v>218466.52</v>
      </c>
      <c r="F705" s="1052">
        <v>200000</v>
      </c>
      <c r="G705" s="1048">
        <f>F705</f>
        <v>200000</v>
      </c>
      <c r="H705" s="1051">
        <v>200000</v>
      </c>
      <c r="I705" s="1048">
        <v>150000</v>
      </c>
      <c r="J705" s="1048">
        <f t="shared" si="86"/>
        <v>158850</v>
      </c>
      <c r="K705" s="1048">
        <f t="shared" si="87"/>
        <v>167745.60000000001</v>
      </c>
      <c r="L705" s="208"/>
      <c r="M705" s="209"/>
      <c r="N705" s="209"/>
      <c r="O705" s="209"/>
      <c r="P705" s="209"/>
      <c r="Q705" s="209"/>
      <c r="R705" s="209"/>
      <c r="S705" s="209"/>
      <c r="T705" s="209"/>
      <c r="U705" s="209"/>
      <c r="V705" s="209"/>
      <c r="W705" s="209"/>
    </row>
    <row r="706" spans="1:23" ht="11.25" customHeight="1" x14ac:dyDescent="0.25">
      <c r="A706" s="1165"/>
      <c r="B706" s="1041"/>
      <c r="C706" s="1048"/>
      <c r="D706" s="1048"/>
      <c r="E706" s="1049"/>
      <c r="F706" s="1050"/>
      <c r="G706" s="1048"/>
      <c r="H706" s="1051"/>
      <c r="I706" s="1052"/>
      <c r="J706" s="1048"/>
      <c r="K706" s="2678"/>
      <c r="L706" s="208"/>
      <c r="M706" s="209"/>
      <c r="N706" s="209"/>
      <c r="O706" s="209"/>
      <c r="P706" s="209"/>
      <c r="Q706" s="209"/>
      <c r="R706" s="209"/>
      <c r="S706" s="209"/>
      <c r="T706" s="209"/>
      <c r="U706" s="209"/>
      <c r="V706" s="209"/>
      <c r="W706" s="209"/>
    </row>
    <row r="707" spans="1:23" ht="11.25" customHeight="1" x14ac:dyDescent="0.25">
      <c r="A707" s="197" t="s">
        <v>179</v>
      </c>
      <c r="B707" s="1041">
        <v>2</v>
      </c>
      <c r="C707" s="213">
        <f t="shared" ref="C707:K707" si="88">C156+C217+C252+C287+C349+C375+C412+C433+C454+C527+C541+C591+C661+C691+C497</f>
        <v>367303885</v>
      </c>
      <c r="D707" s="213">
        <f t="shared" si="88"/>
        <v>480311834.56999993</v>
      </c>
      <c r="E707" s="214">
        <f t="shared" si="88"/>
        <v>634171173</v>
      </c>
      <c r="F707" s="215">
        <f t="shared" si="88"/>
        <v>542203713.77425599</v>
      </c>
      <c r="G707" s="213">
        <f t="shared" si="88"/>
        <v>360517281.74825597</v>
      </c>
      <c r="H707" s="212">
        <f t="shared" si="88"/>
        <v>360517281.74825597</v>
      </c>
      <c r="I707" s="212">
        <f t="shared" si="88"/>
        <v>629943578.63999999</v>
      </c>
      <c r="J707" s="213">
        <f t="shared" si="88"/>
        <v>667110249.77976012</v>
      </c>
      <c r="K707" s="213">
        <f t="shared" si="88"/>
        <v>704468423.76742661</v>
      </c>
      <c r="L707" s="199">
        <f t="shared" ref="L707:W707" si="89">SUM(L156:L432)</f>
        <v>0</v>
      </c>
      <c r="M707" s="200">
        <f t="shared" si="89"/>
        <v>0</v>
      </c>
      <c r="N707" s="200">
        <f t="shared" si="89"/>
        <v>0</v>
      </c>
      <c r="O707" s="200">
        <f t="shared" si="89"/>
        <v>0</v>
      </c>
      <c r="P707" s="200">
        <f t="shared" si="89"/>
        <v>0</v>
      </c>
      <c r="Q707" s="200">
        <f t="shared" si="89"/>
        <v>0</v>
      </c>
      <c r="R707" s="200">
        <f t="shared" si="89"/>
        <v>0</v>
      </c>
      <c r="S707" s="200">
        <f t="shared" si="89"/>
        <v>0</v>
      </c>
      <c r="T707" s="200">
        <f t="shared" si="89"/>
        <v>0</v>
      </c>
      <c r="U707" s="200">
        <f t="shared" si="89"/>
        <v>0</v>
      </c>
      <c r="V707" s="200">
        <f t="shared" si="89"/>
        <v>0</v>
      </c>
      <c r="W707" s="200">
        <f t="shared" si="89"/>
        <v>0</v>
      </c>
    </row>
    <row r="708" spans="1:23" ht="5.0999999999999996" customHeight="1" x14ac:dyDescent="0.25">
      <c r="A708" s="201"/>
      <c r="B708" s="1041"/>
      <c r="C708" s="218"/>
      <c r="D708" s="218"/>
      <c r="E708" s="219"/>
      <c r="F708" s="220"/>
      <c r="G708" s="218"/>
      <c r="H708" s="217"/>
      <c r="I708" s="221"/>
      <c r="J708" s="218"/>
      <c r="K708" s="2679"/>
      <c r="L708" s="222"/>
      <c r="M708" s="223"/>
      <c r="N708" s="223"/>
      <c r="O708" s="223"/>
      <c r="P708" s="223"/>
      <c r="Q708" s="223"/>
      <c r="R708" s="223"/>
      <c r="S708" s="223"/>
      <c r="T708" s="223"/>
      <c r="U708" s="223"/>
      <c r="V708" s="223"/>
      <c r="W708" s="223"/>
    </row>
    <row r="709" spans="1:23" ht="13.5" thickBot="1" x14ac:dyDescent="0.3">
      <c r="A709" s="224" t="str">
        <f>result</f>
        <v>Surplus/(Deficit) for the year</v>
      </c>
      <c r="B709" s="1042">
        <v>2</v>
      </c>
      <c r="C709" s="227">
        <f t="shared" ref="C709:W709" si="90">C153-C707</f>
        <v>14225858</v>
      </c>
      <c r="D709" s="227">
        <f t="shared" si="90"/>
        <v>30489701.430000067</v>
      </c>
      <c r="E709" s="228">
        <f t="shared" si="90"/>
        <v>-132346446.53000009</v>
      </c>
      <c r="F709" s="229">
        <f t="shared" si="90"/>
        <v>-68443590.786256015</v>
      </c>
      <c r="G709" s="230">
        <f t="shared" si="90"/>
        <v>141053425.83974415</v>
      </c>
      <c r="H709" s="231">
        <f t="shared" si="90"/>
        <v>141053425.83974415</v>
      </c>
      <c r="I709" s="232">
        <f t="shared" si="90"/>
        <v>-20867501.849999905</v>
      </c>
      <c r="J709" s="230">
        <f t="shared" si="90"/>
        <v>-22098684.459150076</v>
      </c>
      <c r="K709" s="230">
        <f t="shared" si="90"/>
        <v>-23336210.788862467</v>
      </c>
      <c r="L709" s="233">
        <f t="shared" si="90"/>
        <v>0</v>
      </c>
      <c r="M709" s="234">
        <f t="shared" si="90"/>
        <v>0</v>
      </c>
      <c r="N709" s="234">
        <f t="shared" si="90"/>
        <v>0</v>
      </c>
      <c r="O709" s="234">
        <f t="shared" si="90"/>
        <v>0</v>
      </c>
      <c r="P709" s="234">
        <f t="shared" si="90"/>
        <v>0</v>
      </c>
      <c r="Q709" s="234">
        <f t="shared" si="90"/>
        <v>0</v>
      </c>
      <c r="R709" s="234">
        <f t="shared" si="90"/>
        <v>0</v>
      </c>
      <c r="S709" s="234">
        <f t="shared" si="90"/>
        <v>0</v>
      </c>
      <c r="T709" s="234">
        <f t="shared" si="90"/>
        <v>0</v>
      </c>
      <c r="U709" s="234">
        <f t="shared" si="90"/>
        <v>0</v>
      </c>
      <c r="V709" s="234">
        <f t="shared" si="90"/>
        <v>0</v>
      </c>
      <c r="W709" s="234">
        <f t="shared" si="90"/>
        <v>0</v>
      </c>
    </row>
    <row r="710" spans="1:23" s="708" customFormat="1" ht="11.25" customHeight="1" thickTop="1" x14ac:dyDescent="0.25">
      <c r="A710" s="1228" t="str">
        <f>head27a</f>
        <v>References</v>
      </c>
      <c r="B710" s="1033"/>
      <c r="C710" s="1034"/>
      <c r="D710" s="1035"/>
      <c r="E710" s="1035"/>
      <c r="F710" s="1035"/>
      <c r="G710" s="1035"/>
      <c r="H710" s="1035"/>
      <c r="I710" s="1035"/>
      <c r="J710" s="1035"/>
      <c r="K710" s="2680"/>
    </row>
    <row r="711" spans="1:23" s="708" customFormat="1" ht="11.25" customHeight="1" x14ac:dyDescent="0.25">
      <c r="A711" s="1193" t="s">
        <v>647</v>
      </c>
      <c r="B711" s="1033"/>
      <c r="C711" s="1036"/>
      <c r="D711" s="1036"/>
      <c r="E711" s="1037"/>
      <c r="F711" s="1037"/>
      <c r="G711" s="1037"/>
      <c r="H711" s="1037"/>
      <c r="I711" s="1037"/>
      <c r="J711" s="1037"/>
      <c r="K711" s="2681"/>
    </row>
    <row r="712" spans="1:23" s="708" customFormat="1" ht="11.25" customHeight="1" x14ac:dyDescent="0.25">
      <c r="A712" s="1234" t="s">
        <v>438</v>
      </c>
      <c r="B712" s="1033"/>
      <c r="C712" s="1036"/>
      <c r="D712" s="1036"/>
      <c r="E712" s="1037"/>
      <c r="F712" s="1037"/>
      <c r="G712" s="1037"/>
      <c r="H712" s="1037"/>
      <c r="I712" s="1037"/>
      <c r="J712" s="1037"/>
      <c r="K712" s="2681"/>
    </row>
    <row r="713" spans="1:23" s="708" customFormat="1" ht="11.25" customHeight="1" x14ac:dyDescent="0.25">
      <c r="A713" s="1234" t="s">
        <v>436</v>
      </c>
      <c r="B713" s="1038"/>
      <c r="C713" s="1039"/>
      <c r="D713" s="1039"/>
      <c r="E713" s="1040"/>
      <c r="F713" s="1040"/>
      <c r="G713" s="1040"/>
      <c r="H713" s="1040"/>
      <c r="I713" s="1040"/>
      <c r="J713" s="1040"/>
      <c r="K713" s="2682"/>
    </row>
    <row r="714" spans="1:23" ht="11.25" customHeight="1" x14ac:dyDescent="0.25">
      <c r="A714" s="246"/>
    </row>
    <row r="715" spans="1:23" ht="11.25" customHeight="1" x14ac:dyDescent="0.25">
      <c r="A715" s="1235" t="s">
        <v>11</v>
      </c>
      <c r="B715" s="703"/>
      <c r="C715" s="1236">
        <f>C153-'A4-FinPerf RE'!C60</f>
        <v>0</v>
      </c>
      <c r="D715" s="1236">
        <f>D153-'A4-FinPerf RE'!D60</f>
        <v>0</v>
      </c>
      <c r="E715" s="1236">
        <f>E153-'A4-FinPerf RE'!E60</f>
        <v>0</v>
      </c>
      <c r="F715" s="1236">
        <f>F153-'A4-FinPerf RE'!F60</f>
        <v>0</v>
      </c>
      <c r="G715" s="1236">
        <f>G153-'A4-FinPerf RE'!G60</f>
        <v>0</v>
      </c>
      <c r="H715" s="1236">
        <f>H153-'A4-FinPerf RE'!H60</f>
        <v>0</v>
      </c>
      <c r="I715" s="1236">
        <f>I153-'A4-FinPerf RE'!J60</f>
        <v>0</v>
      </c>
      <c r="J715" s="1236">
        <f>J153-'A4-FinPerf RE'!K60</f>
        <v>0</v>
      </c>
      <c r="K715" s="2684">
        <f>K153-'A4-FinPerf RE'!L60</f>
        <v>0</v>
      </c>
    </row>
    <row r="716" spans="1:23" ht="11.25" customHeight="1" x14ac:dyDescent="0.25">
      <c r="A716" s="1235" t="s">
        <v>12</v>
      </c>
      <c r="B716" s="703"/>
      <c r="C716" s="1236">
        <f>C707-'A4-FinPerf RE'!C36</f>
        <v>0</v>
      </c>
      <c r="D716" s="1236">
        <f>D707-'A4-FinPerf RE'!D36</f>
        <v>-0.43000006675720215</v>
      </c>
      <c r="E716" s="1236">
        <f>E707-'A4-FinPerf RE'!E36</f>
        <v>0</v>
      </c>
      <c r="F716" s="1236">
        <f>F707-'A4-FinPerf RE'!F36</f>
        <v>0</v>
      </c>
      <c r="G716" s="1236">
        <f>G707-'A4-FinPerf RE'!G36</f>
        <v>3.9999485015869141E-3</v>
      </c>
      <c r="H716" s="1236">
        <f>H707-'A4-FinPerf RE'!H36</f>
        <v>3.9999485015869141E-3</v>
      </c>
      <c r="I716" s="1236">
        <f>I707-'A4-FinPerf RE'!J36</f>
        <v>0</v>
      </c>
      <c r="J716" s="1236">
        <f>J707-'A4-FinPerf RE'!K36</f>
        <v>0</v>
      </c>
      <c r="K716" s="2684">
        <f>K707-'A4-FinPerf RE'!L36</f>
        <v>0</v>
      </c>
    </row>
    <row r="717" spans="1:23" ht="11.25" customHeight="1" x14ac:dyDescent="0.25">
      <c r="A717" s="246"/>
    </row>
    <row r="718" spans="1:23" ht="11.25" customHeight="1" x14ac:dyDescent="0.25">
      <c r="A718" s="246"/>
    </row>
    <row r="719" spans="1:23" ht="11.25" customHeight="1" x14ac:dyDescent="0.25">
      <c r="A719" s="246"/>
    </row>
    <row r="720" spans="1:23" ht="11.25" customHeight="1" x14ac:dyDescent="0.25"/>
    <row r="721" ht="11.25" customHeight="1" x14ac:dyDescent="0.25"/>
    <row r="722" ht="11.25" customHeight="1" x14ac:dyDescent="0.25"/>
    <row r="723" ht="11.25" customHeight="1" x14ac:dyDescent="0.25"/>
    <row r="724" ht="11.25" customHeight="1" x14ac:dyDescent="0.25"/>
    <row r="725" ht="11.25" customHeight="1" x14ac:dyDescent="0.25"/>
    <row r="726" ht="11.25" customHeight="1" x14ac:dyDescent="0.25"/>
    <row r="727" ht="11.25" customHeight="1" x14ac:dyDescent="0.25"/>
    <row r="728" ht="11.25" customHeight="1" x14ac:dyDescent="0.25"/>
    <row r="729" ht="11.25" customHeight="1" x14ac:dyDescent="0.25"/>
    <row r="730" ht="11.25" customHeight="1" x14ac:dyDescent="0.25"/>
    <row r="731" ht="11.25" customHeight="1" x14ac:dyDescent="0.25"/>
    <row r="732" ht="11.25" customHeight="1" x14ac:dyDescent="0.25"/>
    <row r="733" ht="11.25" customHeight="1" x14ac:dyDescent="0.25"/>
    <row r="734" ht="11.25" customHeight="1" x14ac:dyDescent="0.25"/>
    <row r="735" ht="11.25" customHeight="1" x14ac:dyDescent="0.25"/>
    <row r="736" ht="11.25" customHeight="1" x14ac:dyDescent="0.25"/>
    <row r="737" ht="11.25" customHeight="1" x14ac:dyDescent="0.25"/>
    <row r="738" ht="11.25" customHeight="1" x14ac:dyDescent="0.25"/>
    <row r="739" ht="11.25" customHeight="1" x14ac:dyDescent="0.25"/>
    <row r="740" ht="11.25" customHeight="1" x14ac:dyDescent="0.25"/>
    <row r="741" ht="11.25" customHeight="1" x14ac:dyDescent="0.25"/>
    <row r="742" ht="11.25" customHeight="1" x14ac:dyDescent="0.25"/>
    <row r="743" ht="11.25" customHeight="1" x14ac:dyDescent="0.25"/>
    <row r="744" ht="11.25" customHeight="1" x14ac:dyDescent="0.25"/>
    <row r="745" ht="11.25" customHeight="1" x14ac:dyDescent="0.25"/>
    <row r="746" ht="11.25" customHeight="1" x14ac:dyDescent="0.25"/>
    <row r="747" ht="11.25" customHeight="1" x14ac:dyDescent="0.25"/>
    <row r="748" ht="11.25" customHeight="1" x14ac:dyDescent="0.25"/>
  </sheetData>
  <customSheetViews>
    <customSheetView guid="{F50C5479-5CC4-4FD7-8319-543D29E829F0}" showGridLines="0" zeroValues="0" fitToPage="1" hiddenColumns="1">
      <pane xSplit="2" ySplit="3" topLeftCell="C4" activePane="bottomRight" state="frozen"/>
      <selection pane="bottomRight" activeCell="J8" sqref="J8"/>
      <rowBreaks count="1" manualBreakCount="1">
        <brk id="153" max="10" man="1"/>
      </rowBreaks>
      <pageMargins left="0.35433070866141736" right="0.11811023622047245" top="0.78740157480314965" bottom="0.59055118110236227" header="0.51181102362204722" footer="0.35433070866141736"/>
      <pageSetup paperSize="9" fitToHeight="0" orientation="landscape" r:id="rId1"/>
      <headerFooter alignWithMargins="0"/>
    </customSheetView>
  </customSheetViews>
  <mergeCells count="3">
    <mergeCell ref="L2:W2"/>
    <mergeCell ref="F2:H2"/>
    <mergeCell ref="I2:K2"/>
  </mergeCells>
  <phoneticPr fontId="2" type="noConversion"/>
  <dataValidations xWindow="42844" yWindow="125" count="1">
    <dataValidation type="list" allowBlank="1" showInputMessage="1" showErrorMessage="1" promptTitle="Select Vote" prompt="Select Vote from list" sqref="A217">
      <formula1>Vote</formula1>
    </dataValidation>
  </dataValidations>
  <pageMargins left="0.35433070866141736" right="0.11811023622047245" top="0.78740157480314965" bottom="0.59055118110236227" header="0.51181102362204722" footer="0.35433070866141736"/>
  <pageSetup paperSize="9" scale="70" fitToHeight="0" orientation="landscape" r:id="rId2"/>
  <headerFooter alignWithMargins="0"/>
  <rowBreaks count="1" manualBreakCount="1">
    <brk id="153"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92"/>
  <sheetViews>
    <sheetView showGridLines="0" zoomScaleNormal="100" workbookViewId="0">
      <pane xSplit="2" ySplit="3" topLeftCell="C23" activePane="bottomRight" state="frozen"/>
      <selection pane="topRight"/>
      <selection pane="bottomLeft"/>
      <selection pane="bottomRight" activeCell="J25" sqref="J25"/>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hidden="1" customWidth="1"/>
    <col min="14" max="14" width="9.5703125" style="149" hidden="1" customWidth="1"/>
    <col min="15" max="15" width="9.85546875" style="149" hidden="1" customWidth="1"/>
    <col min="16" max="18" width="9.5703125" style="149" hidden="1" customWidth="1"/>
    <col min="19" max="19" width="9.85546875" style="149" hidden="1" customWidth="1"/>
    <col min="20" max="22" width="9.5703125" style="149" hidden="1" customWidth="1"/>
    <col min="23" max="24" width="9.85546875" style="149" hidden="1" customWidth="1"/>
    <col min="25" max="16384" width="9.140625" style="149"/>
  </cols>
  <sheetData>
    <row r="1" spans="1:25" s="179" customFormat="1" x14ac:dyDescent="0.2">
      <c r="A1" s="147" t="str">
        <f>muni&amp;" - "&amp;Approve4</f>
        <v>MP315 Thembisile Hani - Table A4 Budgeted Financial Performance (revenue and expenditure)</v>
      </c>
      <c r="B1" s="147"/>
      <c r="C1" s="147"/>
      <c r="D1" s="147"/>
      <c r="E1" s="147"/>
      <c r="F1" s="147"/>
      <c r="G1" s="147"/>
      <c r="H1" s="147"/>
      <c r="I1" s="147"/>
      <c r="J1" s="147"/>
      <c r="K1" s="147"/>
      <c r="L1" s="147"/>
    </row>
    <row r="2" spans="1:25" ht="28.5" customHeight="1" x14ac:dyDescent="0.25">
      <c r="A2" s="970" t="str">
        <f>desc</f>
        <v>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c r="M2" s="2780" t="str">
        <f>Head4</f>
        <v>LTFS</v>
      </c>
      <c r="N2" s="2780"/>
      <c r="O2" s="2780"/>
      <c r="P2" s="2780"/>
      <c r="Q2" s="2780"/>
      <c r="R2" s="2780"/>
      <c r="S2" s="2780"/>
      <c r="T2" s="2780"/>
      <c r="U2" s="2780"/>
      <c r="V2" s="2780"/>
      <c r="W2" s="2780"/>
      <c r="X2" s="2781"/>
    </row>
    <row r="3" spans="1:25" ht="25.5" x14ac:dyDescent="0.25">
      <c r="A3" s="180" t="s">
        <v>662</v>
      </c>
      <c r="B3" s="290">
        <v>1</v>
      </c>
      <c r="C3" s="389" t="str">
        <f>Head5</f>
        <v>Audited Outcome</v>
      </c>
      <c r="D3" s="389" t="str">
        <f>Head5</f>
        <v>Audited Outcome</v>
      </c>
      <c r="E3" s="390" t="str">
        <f>Head5</f>
        <v>Audited Outcome</v>
      </c>
      <c r="F3" s="299" t="str">
        <f>Head6</f>
        <v>Original Budget</v>
      </c>
      <c r="G3" s="389" t="str">
        <f>Head7</f>
        <v>Adjusted Budget</v>
      </c>
      <c r="H3" s="390" t="str">
        <f>Head8</f>
        <v>Full Year Forecast</v>
      </c>
      <c r="I3" s="388" t="str">
        <f>Head5b</f>
        <v>Pre-audit outcome</v>
      </c>
      <c r="J3" s="299" t="str">
        <f>Head9</f>
        <v>Budget Year 2015/16</v>
      </c>
      <c r="K3" s="389" t="str">
        <f>Head10</f>
        <v>Budget Year +1 2016/17</v>
      </c>
      <c r="L3" s="390" t="str">
        <f>Head11</f>
        <v>Budget Year +2 2017/18</v>
      </c>
      <c r="M3" s="1543" t="str">
        <f>Head12</f>
        <v>Forecast 2018/19</v>
      </c>
      <c r="N3" s="1544" t="str">
        <f>Head13</f>
        <v>Forecast 2019/20</v>
      </c>
      <c r="O3" s="1544" t="str">
        <f>Head14</f>
        <v>Forecast 2020/21</v>
      </c>
      <c r="P3" s="1544" t="str">
        <f>Head15</f>
        <v>Forecast 2021/22</v>
      </c>
      <c r="Q3" s="1544" t="str">
        <f>Head16</f>
        <v>Forecast 2022/23</v>
      </c>
      <c r="R3" s="1544" t="str">
        <f>Head17</f>
        <v>Forecast 2023/24</v>
      </c>
      <c r="S3" s="1544" t="str">
        <f>Head18</f>
        <v>Forecast 2024/25</v>
      </c>
      <c r="T3" s="1544" t="str">
        <f>Head19</f>
        <v>Forecast 2025/26</v>
      </c>
      <c r="U3" s="1544" t="str">
        <f>Head20</f>
        <v>Forecast 2026/27</v>
      </c>
      <c r="V3" s="1544" t="str">
        <f>Head21</f>
        <v>Forecast 2027/28</v>
      </c>
      <c r="W3" s="1544" t="str">
        <f>Head22</f>
        <v>Forecast 2028/29</v>
      </c>
      <c r="X3" s="1544" t="str">
        <f>Head23</f>
        <v>Forecast 2029/30</v>
      </c>
    </row>
    <row r="4" spans="1:25" ht="12.75" hidden="1" customHeight="1" x14ac:dyDescent="0.25">
      <c r="A4" s="249" t="s">
        <v>664</v>
      </c>
      <c r="B4" s="291"/>
      <c r="C4" s="184"/>
      <c r="D4" s="184"/>
      <c r="E4" s="292"/>
      <c r="F4" s="186"/>
      <c r="G4" s="184"/>
      <c r="H4" s="185"/>
      <c r="I4" s="183"/>
      <c r="J4" s="187"/>
      <c r="K4" s="184"/>
      <c r="L4" s="185"/>
      <c r="M4" s="188"/>
      <c r="N4" s="189"/>
      <c r="O4" s="189"/>
      <c r="P4" s="189"/>
      <c r="Q4" s="189"/>
      <c r="R4" s="189"/>
      <c r="S4" s="189"/>
      <c r="T4" s="189"/>
      <c r="U4" s="189"/>
      <c r="V4" s="189"/>
      <c r="W4" s="189"/>
      <c r="X4" s="189"/>
      <c r="Y4" s="369"/>
    </row>
    <row r="5" spans="1:25" ht="12.75" hidden="1" customHeight="1" x14ac:dyDescent="0.25">
      <c r="A5" s="250" t="s">
        <v>539</v>
      </c>
      <c r="B5" s="294">
        <v>2</v>
      </c>
      <c r="C5" s="1059">
        <f>'SA1'!C9</f>
        <v>6535187</v>
      </c>
      <c r="D5" s="1059">
        <f>'SA1'!D9</f>
        <v>4791658</v>
      </c>
      <c r="E5" s="1421">
        <f>'SA1'!E9</f>
        <v>13186995</v>
      </c>
      <c r="F5" s="1063">
        <f>'SA1'!F9</f>
        <v>6656524.6680000005</v>
      </c>
      <c r="G5" s="1059">
        <f>'SA1'!G9</f>
        <v>22086220.908</v>
      </c>
      <c r="H5" s="1146">
        <f>'SA1'!H9</f>
        <v>22086220.908</v>
      </c>
      <c r="I5" s="1062">
        <f>'SA1'!I9</f>
        <v>6790342</v>
      </c>
      <c r="J5" s="1063">
        <f>'SA1'!J9</f>
        <v>57411199.609999999</v>
      </c>
      <c r="K5" s="1059">
        <f>'SA1'!K9</f>
        <v>60798460.386989996</v>
      </c>
      <c r="L5" s="1146">
        <f>'SA1'!L9</f>
        <v>64203174.168661438</v>
      </c>
      <c r="M5" s="195"/>
      <c r="N5" s="196"/>
      <c r="O5" s="196"/>
      <c r="P5" s="196"/>
      <c r="Q5" s="196"/>
      <c r="R5" s="196"/>
      <c r="S5" s="196"/>
      <c r="T5" s="196"/>
      <c r="U5" s="196"/>
      <c r="V5" s="196"/>
      <c r="W5" s="196"/>
      <c r="X5" s="196"/>
      <c r="Y5" s="369"/>
    </row>
    <row r="6" spans="1:25" ht="12.75" hidden="1" customHeight="1" x14ac:dyDescent="0.25">
      <c r="A6" s="250" t="s">
        <v>1596</v>
      </c>
      <c r="B6" s="294"/>
      <c r="C6" s="1606">
        <v>0</v>
      </c>
      <c r="D6" s="1606">
        <v>0</v>
      </c>
      <c r="E6" s="1607">
        <v>0</v>
      </c>
      <c r="F6" s="1608">
        <v>0</v>
      </c>
      <c r="G6" s="1606">
        <v>0</v>
      </c>
      <c r="H6" s="1609">
        <v>0</v>
      </c>
      <c r="I6" s="1630">
        <v>0</v>
      </c>
      <c r="J6" s="1608">
        <v>0</v>
      </c>
      <c r="K6" s="1606">
        <v>0</v>
      </c>
      <c r="L6" s="1609">
        <v>0</v>
      </c>
      <c r="M6" s="195"/>
      <c r="N6" s="196"/>
      <c r="O6" s="196"/>
      <c r="P6" s="196"/>
      <c r="Q6" s="196"/>
      <c r="R6" s="196"/>
      <c r="S6" s="196"/>
      <c r="T6" s="196"/>
      <c r="U6" s="196"/>
      <c r="V6" s="196"/>
      <c r="W6" s="196"/>
      <c r="X6" s="196"/>
      <c r="Y6" s="369"/>
    </row>
    <row r="7" spans="1:25" ht="12.75" hidden="1" customHeight="1" x14ac:dyDescent="0.25">
      <c r="A7" s="254" t="s">
        <v>1788</v>
      </c>
      <c r="B7" s="294">
        <v>2</v>
      </c>
      <c r="C7" s="1059">
        <f>'SA1'!C14</f>
        <v>0</v>
      </c>
      <c r="D7" s="1059">
        <f>'SA1'!D14</f>
        <v>0</v>
      </c>
      <c r="E7" s="1421">
        <f>'SA1'!E14</f>
        <v>0</v>
      </c>
      <c r="F7" s="1063">
        <f>'SA1'!F14</f>
        <v>0</v>
      </c>
      <c r="G7" s="1059">
        <f>'SA1'!G14</f>
        <v>0</v>
      </c>
      <c r="H7" s="1146">
        <f>'SA1'!H14</f>
        <v>0</v>
      </c>
      <c r="I7" s="1062">
        <f>'SA1'!I14</f>
        <v>0</v>
      </c>
      <c r="J7" s="1063">
        <f>'SA1'!J14</f>
        <v>0</v>
      </c>
      <c r="K7" s="1059">
        <f>'SA1'!K14</f>
        <v>0</v>
      </c>
      <c r="L7" s="1146">
        <f>'SA1'!L14</f>
        <v>0</v>
      </c>
      <c r="M7" s="195"/>
      <c r="N7" s="196"/>
      <c r="O7" s="196"/>
      <c r="P7" s="196"/>
      <c r="Q7" s="196"/>
      <c r="R7" s="196"/>
      <c r="S7" s="196"/>
      <c r="T7" s="196"/>
      <c r="U7" s="196"/>
      <c r="V7" s="196"/>
      <c r="W7" s="196"/>
      <c r="X7" s="196"/>
      <c r="Y7" s="369"/>
    </row>
    <row r="8" spans="1:25" ht="12.75" hidden="1" customHeight="1" x14ac:dyDescent="0.25">
      <c r="A8" s="254" t="s">
        <v>1789</v>
      </c>
      <c r="B8" s="294">
        <v>2</v>
      </c>
      <c r="C8" s="1059">
        <f>'SA1'!C19</f>
        <v>34804522</v>
      </c>
      <c r="D8" s="1059">
        <f>'SA1'!D19</f>
        <v>34375993</v>
      </c>
      <c r="E8" s="1421">
        <f>'SA1'!E19</f>
        <v>32650357</v>
      </c>
      <c r="F8" s="1063">
        <f>'SA1'!F19</f>
        <v>39931200</v>
      </c>
      <c r="G8" s="1059">
        <f>'SA1'!G19</f>
        <v>39931200</v>
      </c>
      <c r="H8" s="1146">
        <f>'SA1'!H19</f>
        <v>39931200</v>
      </c>
      <c r="I8" s="1062">
        <f>'SA1'!I19</f>
        <v>24398840</v>
      </c>
      <c r="J8" s="1063">
        <f>'SA1'!J19</f>
        <v>41751688.280000001</v>
      </c>
      <c r="K8" s="1059">
        <f>'SA1'!K19</f>
        <v>44215037.888520002</v>
      </c>
      <c r="L8" s="1146">
        <f>'SA1'!L19</f>
        <v>46691080.010277122</v>
      </c>
      <c r="M8" s="195"/>
      <c r="N8" s="196"/>
      <c r="O8" s="196"/>
      <c r="P8" s="196"/>
      <c r="Q8" s="196"/>
      <c r="R8" s="196"/>
      <c r="S8" s="196"/>
      <c r="T8" s="196"/>
      <c r="U8" s="196"/>
      <c r="V8" s="196"/>
      <c r="W8" s="196"/>
      <c r="X8" s="196"/>
      <c r="Y8" s="369"/>
    </row>
    <row r="9" spans="1:25" ht="12.75" hidden="1" customHeight="1" x14ac:dyDescent="0.25">
      <c r="A9" s="254" t="s">
        <v>926</v>
      </c>
      <c r="B9" s="294">
        <v>2</v>
      </c>
      <c r="C9" s="1059">
        <f>'SA1'!C24</f>
        <v>630935</v>
      </c>
      <c r="D9" s="1059">
        <f>'SA1'!D24</f>
        <v>0</v>
      </c>
      <c r="E9" s="1421">
        <f>'SA1'!E24</f>
        <v>1383804</v>
      </c>
      <c r="F9" s="1063">
        <f>'SA1'!F24</f>
        <v>1533259.31</v>
      </c>
      <c r="G9" s="1059">
        <f>'SA1'!G24</f>
        <v>1533259.31</v>
      </c>
      <c r="H9" s="1146">
        <f>'SA1'!H24</f>
        <v>1533259.31</v>
      </c>
      <c r="I9" s="1062">
        <f>'SA1'!I24</f>
        <v>1775934</v>
      </c>
      <c r="J9" s="1063">
        <f>'SA1'!J24</f>
        <v>1790589.2400000002</v>
      </c>
      <c r="K9" s="1059">
        <f>'SA1'!K24</f>
        <v>1896234.0051600002</v>
      </c>
      <c r="L9" s="1146">
        <f>'SA1'!L24</f>
        <v>2002423.1094489603</v>
      </c>
      <c r="M9" s="195"/>
      <c r="N9" s="196"/>
      <c r="O9" s="196"/>
      <c r="P9" s="196"/>
      <c r="Q9" s="196"/>
      <c r="R9" s="196"/>
      <c r="S9" s="196"/>
      <c r="T9" s="196"/>
      <c r="U9" s="196"/>
      <c r="V9" s="196"/>
      <c r="W9" s="196"/>
      <c r="X9" s="196"/>
      <c r="Y9" s="369"/>
    </row>
    <row r="10" spans="1:25" ht="12.75" hidden="1" customHeight="1" x14ac:dyDescent="0.25">
      <c r="A10" s="254" t="s">
        <v>1036</v>
      </c>
      <c r="B10" s="294">
        <v>2</v>
      </c>
      <c r="C10" s="207">
        <f>'SA1'!C30</f>
        <v>3970618</v>
      </c>
      <c r="D10" s="207">
        <f>'SA1'!D30</f>
        <v>1329396</v>
      </c>
      <c r="E10" s="204">
        <f>'SA1'!E30</f>
        <v>17701330</v>
      </c>
      <c r="F10" s="205">
        <f>'SA1'!F30</f>
        <v>3186000</v>
      </c>
      <c r="G10" s="203">
        <f>'SA1'!G30</f>
        <v>12309256.199999999</v>
      </c>
      <c r="H10" s="803">
        <f>'SA1'!H30</f>
        <v>12309256.199999999</v>
      </c>
      <c r="I10" s="202">
        <f>'SA1'!I30</f>
        <v>6278947</v>
      </c>
      <c r="J10" s="206">
        <f>'SA1'!J30</f>
        <v>15723162.970000001</v>
      </c>
      <c r="K10" s="203">
        <f>'SA1'!K30</f>
        <v>16650829.58523</v>
      </c>
      <c r="L10" s="204">
        <f>'SA1'!L30</f>
        <v>17583276.042002883</v>
      </c>
      <c r="M10" s="195"/>
      <c r="N10" s="196"/>
      <c r="O10" s="196"/>
      <c r="P10" s="196"/>
      <c r="Q10" s="196"/>
      <c r="R10" s="196"/>
      <c r="S10" s="196"/>
      <c r="T10" s="196"/>
      <c r="U10" s="196"/>
      <c r="V10" s="196"/>
      <c r="W10" s="196"/>
      <c r="X10" s="196"/>
      <c r="Y10" s="369"/>
    </row>
    <row r="11" spans="1:25" ht="12.75" hidden="1" customHeight="1" x14ac:dyDescent="0.25">
      <c r="A11" s="254" t="s">
        <v>928</v>
      </c>
      <c r="B11" s="293"/>
      <c r="C11" s="1606">
        <v>0</v>
      </c>
      <c r="D11" s="1606">
        <v>0</v>
      </c>
      <c r="E11" s="1628">
        <v>0</v>
      </c>
      <c r="F11" s="1629">
        <v>0</v>
      </c>
      <c r="G11" s="1606">
        <v>0</v>
      </c>
      <c r="H11" s="1628">
        <v>0</v>
      </c>
      <c r="I11" s="1630">
        <v>0</v>
      </c>
      <c r="J11" s="1608">
        <v>0</v>
      </c>
      <c r="K11" s="1606">
        <v>0</v>
      </c>
      <c r="L11" s="1628">
        <v>0</v>
      </c>
      <c r="M11" s="195"/>
      <c r="N11" s="196"/>
      <c r="O11" s="196"/>
      <c r="P11" s="196"/>
      <c r="Q11" s="196"/>
      <c r="R11" s="196"/>
      <c r="S11" s="196"/>
      <c r="T11" s="196"/>
      <c r="U11" s="196"/>
      <c r="V11" s="196"/>
      <c r="W11" s="196"/>
      <c r="X11" s="196"/>
      <c r="Y11" s="369"/>
    </row>
    <row r="12" spans="1:25" ht="12.75" hidden="1" customHeight="1" x14ac:dyDescent="0.25">
      <c r="A12" s="254" t="s">
        <v>1598</v>
      </c>
      <c r="B12" s="293"/>
      <c r="C12" s="1606">
        <v>335487</v>
      </c>
      <c r="D12" s="1606">
        <v>121420</v>
      </c>
      <c r="E12" s="1606">
        <v>371898</v>
      </c>
      <c r="F12" s="1606">
        <v>135318.21000000002</v>
      </c>
      <c r="G12" s="1606">
        <v>534405.30000000005</v>
      </c>
      <c r="H12" s="1606">
        <v>534405.30000000005</v>
      </c>
      <c r="I12" s="1606">
        <v>362063</v>
      </c>
      <c r="J12" s="1606">
        <f>A3A!I143+A3A!I122</f>
        <v>565400.5</v>
      </c>
      <c r="K12" s="1606">
        <f>J12*1.059</f>
        <v>598759.12949999992</v>
      </c>
      <c r="L12" s="1606">
        <f>K12*1.056</f>
        <v>632289.64075199992</v>
      </c>
      <c r="M12" s="195"/>
      <c r="N12" s="196"/>
      <c r="O12" s="196"/>
      <c r="P12" s="196"/>
      <c r="Q12" s="196"/>
      <c r="R12" s="196"/>
      <c r="S12" s="196"/>
      <c r="T12" s="196"/>
      <c r="U12" s="196"/>
      <c r="V12" s="196"/>
      <c r="W12" s="196"/>
      <c r="X12" s="196"/>
    </row>
    <row r="13" spans="1:25" ht="12.75" hidden="1" customHeight="1" x14ac:dyDescent="0.25">
      <c r="A13" s="250" t="s">
        <v>470</v>
      </c>
      <c r="B13" s="293"/>
      <c r="C13" s="1606">
        <v>5512287</v>
      </c>
      <c r="D13" s="1606">
        <v>4455732</v>
      </c>
      <c r="E13" s="1628">
        <v>2636558</v>
      </c>
      <c r="F13" s="1629">
        <v>500000</v>
      </c>
      <c r="G13" s="1606">
        <v>1454903.99</v>
      </c>
      <c r="H13" s="1628">
        <v>1454903.99</v>
      </c>
      <c r="I13" s="1628">
        <v>2703584</v>
      </c>
      <c r="J13" s="1610">
        <f>A3A!I41+A3A!I42</f>
        <v>2468986.65</v>
      </c>
      <c r="K13" s="1606">
        <f t="shared" ref="K13:K19" si="0">J13*1.059</f>
        <v>2614656.8623499996</v>
      </c>
      <c r="L13" s="1606">
        <f t="shared" ref="L13:L19" si="1">K13*1.056</f>
        <v>2761077.6466415995</v>
      </c>
      <c r="M13" s="195"/>
      <c r="N13" s="196"/>
      <c r="O13" s="196"/>
      <c r="P13" s="196"/>
      <c r="Q13" s="196"/>
      <c r="R13" s="196"/>
      <c r="S13" s="196"/>
      <c r="T13" s="196"/>
      <c r="U13" s="196"/>
      <c r="V13" s="196"/>
      <c r="W13" s="196"/>
      <c r="X13" s="196"/>
    </row>
    <row r="14" spans="1:25" ht="12.75" hidden="1" customHeight="1" x14ac:dyDescent="0.25">
      <c r="A14" s="250" t="s">
        <v>471</v>
      </c>
      <c r="B14" s="293"/>
      <c r="C14" s="1606">
        <v>3369545</v>
      </c>
      <c r="D14" s="1606">
        <v>12234171</v>
      </c>
      <c r="E14" s="1628">
        <v>20426233</v>
      </c>
      <c r="F14" s="1630">
        <v>21240000</v>
      </c>
      <c r="G14" s="1606">
        <v>23368672.719999999</v>
      </c>
      <c r="H14" s="1628">
        <v>23368672.719999999</v>
      </c>
      <c r="I14" s="1628">
        <v>13767245</v>
      </c>
      <c r="J14" s="1610">
        <f>A3A!I43</f>
        <v>24476555</v>
      </c>
      <c r="K14" s="1606">
        <f t="shared" si="0"/>
        <v>25920671.744999997</v>
      </c>
      <c r="L14" s="1606">
        <f t="shared" si="1"/>
        <v>27372229.362719998</v>
      </c>
      <c r="M14" s="195"/>
      <c r="N14" s="196"/>
      <c r="O14" s="196"/>
      <c r="P14" s="196"/>
      <c r="Q14" s="196"/>
      <c r="R14" s="196"/>
      <c r="S14" s="196"/>
      <c r="T14" s="196"/>
      <c r="U14" s="196"/>
      <c r="V14" s="196"/>
      <c r="W14" s="196"/>
      <c r="X14" s="196"/>
    </row>
    <row r="15" spans="1:25" ht="12.75" hidden="1" customHeight="1" x14ac:dyDescent="0.25">
      <c r="A15" s="250" t="s">
        <v>1519</v>
      </c>
      <c r="B15" s="293"/>
      <c r="C15" s="1631">
        <v>0</v>
      </c>
      <c r="D15" s="1631">
        <v>0</v>
      </c>
      <c r="E15" s="1640">
        <v>0</v>
      </c>
      <c r="F15" s="2528">
        <v>0</v>
      </c>
      <c r="G15" s="1631">
        <v>0</v>
      </c>
      <c r="H15" s="1640">
        <v>0</v>
      </c>
      <c r="I15" s="1632">
        <v>0</v>
      </c>
      <c r="J15" s="2528"/>
      <c r="K15" s="1606">
        <f t="shared" si="0"/>
        <v>0</v>
      </c>
      <c r="L15" s="1606">
        <f t="shared" si="1"/>
        <v>0</v>
      </c>
      <c r="M15" s="195"/>
      <c r="N15" s="196"/>
      <c r="O15" s="196"/>
      <c r="P15" s="196"/>
      <c r="Q15" s="196"/>
      <c r="R15" s="196"/>
      <c r="S15" s="196"/>
      <c r="T15" s="196"/>
      <c r="U15" s="196"/>
      <c r="V15" s="196"/>
      <c r="W15" s="196"/>
      <c r="X15" s="196"/>
    </row>
    <row r="16" spans="1:25" ht="12.75" hidden="1" customHeight="1" x14ac:dyDescent="0.25">
      <c r="A16" s="250" t="s">
        <v>472</v>
      </c>
      <c r="B16" s="293"/>
      <c r="C16" s="1631">
        <v>44724</v>
      </c>
      <c r="D16" s="1631">
        <v>112893</v>
      </c>
      <c r="E16" s="1640">
        <v>2939050</v>
      </c>
      <c r="F16" s="2528">
        <v>476926.69</v>
      </c>
      <c r="G16" s="1631">
        <v>938901.6</v>
      </c>
      <c r="H16" s="1640">
        <v>938901.6</v>
      </c>
      <c r="I16" s="1632">
        <v>77598</v>
      </c>
      <c r="J16" s="2528">
        <f>A3A!I137</f>
        <v>1500000</v>
      </c>
      <c r="K16" s="1606">
        <f t="shared" si="0"/>
        <v>1588500</v>
      </c>
      <c r="L16" s="1606">
        <f t="shared" si="1"/>
        <v>1677456</v>
      </c>
      <c r="M16" s="195"/>
      <c r="N16" s="196"/>
      <c r="O16" s="196"/>
      <c r="P16" s="196"/>
      <c r="Q16" s="196"/>
      <c r="R16" s="196"/>
      <c r="S16" s="196"/>
      <c r="T16" s="196"/>
      <c r="U16" s="196"/>
      <c r="V16" s="196"/>
      <c r="W16" s="196"/>
      <c r="X16" s="196"/>
    </row>
    <row r="17" spans="1:24" ht="12.75" hidden="1" customHeight="1" x14ac:dyDescent="0.25">
      <c r="A17" s="250" t="s">
        <v>473</v>
      </c>
      <c r="B17" s="293"/>
      <c r="C17" s="1631">
        <v>6368680</v>
      </c>
      <c r="D17" s="1631">
        <v>60401</v>
      </c>
      <c r="E17" s="1640">
        <v>176313.4</v>
      </c>
      <c r="F17" s="2528">
        <v>202712.94</v>
      </c>
      <c r="G17" s="1631">
        <v>295026</v>
      </c>
      <c r="H17" s="1640">
        <v>295026</v>
      </c>
      <c r="I17" s="1632">
        <v>147512</v>
      </c>
      <c r="J17" s="2528">
        <f>A3A!I125</f>
        <v>312137.51</v>
      </c>
      <c r="K17" s="1606">
        <f t="shared" si="0"/>
        <v>330553.62309000001</v>
      </c>
      <c r="L17" s="1606">
        <f t="shared" si="1"/>
        <v>349064.62598304002</v>
      </c>
      <c r="M17" s="195"/>
      <c r="N17" s="196"/>
      <c r="O17" s="196"/>
      <c r="P17" s="196"/>
      <c r="Q17" s="196"/>
      <c r="R17" s="196"/>
      <c r="S17" s="196"/>
      <c r="T17" s="196"/>
      <c r="U17" s="196"/>
      <c r="V17" s="196"/>
      <c r="W17" s="196"/>
      <c r="X17" s="196"/>
    </row>
    <row r="18" spans="1:24" ht="12.75" hidden="1" customHeight="1" x14ac:dyDescent="0.25">
      <c r="A18" s="254" t="s">
        <v>1495</v>
      </c>
      <c r="B18" s="294"/>
      <c r="C18" s="1631">
        <v>0</v>
      </c>
      <c r="D18" s="1631">
        <v>2170820</v>
      </c>
      <c r="E18" s="1640">
        <v>6850311.0700000003</v>
      </c>
      <c r="F18" s="2528">
        <v>5800000</v>
      </c>
      <c r="G18" s="1631">
        <v>5800000</v>
      </c>
      <c r="H18" s="1640">
        <v>5800000</v>
      </c>
      <c r="I18" s="1632">
        <v>4032688</v>
      </c>
      <c r="J18" s="2528">
        <f>A3A!I139</f>
        <v>6136400</v>
      </c>
      <c r="K18" s="1606">
        <f t="shared" si="0"/>
        <v>6498447.5999999996</v>
      </c>
      <c r="L18" s="1606">
        <f t="shared" si="1"/>
        <v>6862360.6655999999</v>
      </c>
      <c r="M18" s="195"/>
      <c r="N18" s="196"/>
      <c r="O18" s="196"/>
      <c r="P18" s="196"/>
      <c r="Q18" s="196"/>
      <c r="R18" s="196"/>
      <c r="S18" s="196"/>
      <c r="T18" s="196"/>
      <c r="U18" s="196"/>
      <c r="V18" s="196"/>
      <c r="W18" s="196"/>
      <c r="X18" s="196"/>
    </row>
    <row r="19" spans="1:24" ht="12.75" hidden="1" customHeight="1" x14ac:dyDescent="0.25">
      <c r="A19" s="250" t="s">
        <v>35</v>
      </c>
      <c r="B19" s="293"/>
      <c r="C19" s="1631">
        <v>312613821</v>
      </c>
      <c r="D19" s="1631">
        <v>226477000</v>
      </c>
      <c r="E19" s="1640">
        <v>247290000</v>
      </c>
      <c r="F19" s="2528">
        <v>280980250</v>
      </c>
      <c r="G19" s="1631">
        <v>279699497.08999997</v>
      </c>
      <c r="H19" s="1640">
        <v>279699497.08999997</v>
      </c>
      <c r="I19" s="1632">
        <v>195304000</v>
      </c>
      <c r="J19" s="2528">
        <f>A3A!I45+A3A!I46+A3A!I47+A3A!I78+A3A!I86</f>
        <v>309291000</v>
      </c>
      <c r="K19" s="1606">
        <f t="shared" si="0"/>
        <v>327539169</v>
      </c>
      <c r="L19" s="1606">
        <f t="shared" si="1"/>
        <v>345881362.46399999</v>
      </c>
      <c r="M19" s="208"/>
      <c r="N19" s="196"/>
      <c r="O19" s="196"/>
      <c r="P19" s="196"/>
      <c r="Q19" s="196"/>
      <c r="R19" s="196"/>
      <c r="S19" s="196"/>
      <c r="T19" s="196"/>
      <c r="U19" s="196"/>
      <c r="V19" s="196"/>
      <c r="W19" s="196"/>
      <c r="X19" s="196"/>
    </row>
    <row r="20" spans="1:24" ht="12.75" hidden="1" customHeight="1" x14ac:dyDescent="0.25">
      <c r="A20" s="250" t="s">
        <v>1547</v>
      </c>
      <c r="B20" s="293">
        <v>2</v>
      </c>
      <c r="C20" s="207">
        <f>'SA1'!C45</f>
        <v>7343937</v>
      </c>
      <c r="D20" s="207">
        <f>'SA1'!D45</f>
        <v>86886718</v>
      </c>
      <c r="E20" s="204">
        <f>'SA1'!E45</f>
        <v>66001133</v>
      </c>
      <c r="F20" s="205">
        <f>'SA1'!F45</f>
        <v>2298181.1700000004</v>
      </c>
      <c r="G20" s="203">
        <f>'SA1'!G45</f>
        <v>2278861.5600000005</v>
      </c>
      <c r="H20" s="204">
        <f>'SA1'!H45</f>
        <v>2278861.5600000005</v>
      </c>
      <c r="I20" s="204">
        <f>'SA1'!I45</f>
        <v>16188021</v>
      </c>
      <c r="J20" s="2529">
        <f>'SA1'!J45</f>
        <v>27409957.030000001</v>
      </c>
      <c r="K20" s="203">
        <f>'SA1'!K45</f>
        <v>29027144.494769998</v>
      </c>
      <c r="L20" s="204">
        <f>'SA1'!L45</f>
        <v>30652664.586477119</v>
      </c>
      <c r="M20" s="208"/>
      <c r="N20" s="196"/>
      <c r="O20" s="196"/>
      <c r="P20" s="196"/>
      <c r="Q20" s="196"/>
      <c r="R20" s="196"/>
      <c r="S20" s="196"/>
      <c r="T20" s="196"/>
      <c r="U20" s="196"/>
      <c r="V20" s="196"/>
      <c r="W20" s="196"/>
      <c r="X20" s="196"/>
    </row>
    <row r="21" spans="1:24" ht="12.75" hidden="1" customHeight="1" x14ac:dyDescent="0.25">
      <c r="A21" s="250" t="s">
        <v>474</v>
      </c>
      <c r="B21" s="293"/>
      <c r="C21" s="1631">
        <v>0</v>
      </c>
      <c r="D21" s="1606">
        <v>663057</v>
      </c>
      <c r="E21" s="1628">
        <v>0</v>
      </c>
      <c r="F21" s="1629">
        <v>0</v>
      </c>
      <c r="G21" s="1606">
        <v>0</v>
      </c>
      <c r="H21" s="1628">
        <v>0</v>
      </c>
      <c r="I21" s="1630">
        <v>0</v>
      </c>
      <c r="J21" s="1608">
        <v>0</v>
      </c>
      <c r="K21" s="1606">
        <v>0</v>
      </c>
      <c r="L21" s="1628">
        <v>0</v>
      </c>
      <c r="M21" s="208"/>
      <c r="N21" s="196"/>
      <c r="O21" s="196"/>
      <c r="P21" s="196"/>
      <c r="Q21" s="196"/>
      <c r="R21" s="196"/>
      <c r="S21" s="196"/>
      <c r="T21" s="196"/>
      <c r="U21" s="196"/>
      <c r="V21" s="196"/>
      <c r="W21" s="196"/>
      <c r="X21" s="196"/>
    </row>
    <row r="22" spans="1:24" ht="24" hidden="1" customHeight="1" x14ac:dyDescent="0.25">
      <c r="A22" s="1374" t="s">
        <v>1037</v>
      </c>
      <c r="B22" s="1375"/>
      <c r="C22" s="1376">
        <f t="shared" ref="C22:X22" si="2">SUM(C5:C21)</f>
        <v>381529743</v>
      </c>
      <c r="D22" s="1376">
        <f t="shared" si="2"/>
        <v>373679259</v>
      </c>
      <c r="E22" s="1377">
        <f t="shared" si="2"/>
        <v>411613982.47000003</v>
      </c>
      <c r="F22" s="1378">
        <f t="shared" si="2"/>
        <v>362940372.98799998</v>
      </c>
      <c r="G22" s="1376">
        <f t="shared" si="2"/>
        <v>390230204.67799997</v>
      </c>
      <c r="H22" s="1377">
        <f t="shared" si="2"/>
        <v>390230204.67799997</v>
      </c>
      <c r="I22" s="1378">
        <f t="shared" si="2"/>
        <v>271826774</v>
      </c>
      <c r="J22" s="1379">
        <f t="shared" si="2"/>
        <v>488837076.78999996</v>
      </c>
      <c r="K22" s="1376">
        <f t="shared" si="2"/>
        <v>517678464.32060999</v>
      </c>
      <c r="L22" s="1377">
        <f t="shared" si="2"/>
        <v>546668458.32256413</v>
      </c>
      <c r="M22" s="199">
        <f t="shared" si="2"/>
        <v>0</v>
      </c>
      <c r="N22" s="200">
        <f t="shared" si="2"/>
        <v>0</v>
      </c>
      <c r="O22" s="200">
        <f t="shared" si="2"/>
        <v>0</v>
      </c>
      <c r="P22" s="200">
        <f t="shared" si="2"/>
        <v>0</v>
      </c>
      <c r="Q22" s="200">
        <f t="shared" si="2"/>
        <v>0</v>
      </c>
      <c r="R22" s="200">
        <f t="shared" si="2"/>
        <v>0</v>
      </c>
      <c r="S22" s="200">
        <f t="shared" si="2"/>
        <v>0</v>
      </c>
      <c r="T22" s="200">
        <f t="shared" si="2"/>
        <v>0</v>
      </c>
      <c r="U22" s="200">
        <f t="shared" si="2"/>
        <v>0</v>
      </c>
      <c r="V22" s="200">
        <f t="shared" si="2"/>
        <v>0</v>
      </c>
      <c r="W22" s="200">
        <f t="shared" si="2"/>
        <v>0</v>
      </c>
      <c r="X22" s="200">
        <f t="shared" si="2"/>
        <v>0</v>
      </c>
    </row>
    <row r="23" spans="1:24" ht="5.0999999999999996" customHeight="1" x14ac:dyDescent="0.25">
      <c r="A23" s="273"/>
      <c r="B23" s="293"/>
      <c r="C23" s="203"/>
      <c r="D23" s="203"/>
      <c r="E23" s="204"/>
      <c r="F23" s="205"/>
      <c r="G23" s="203"/>
      <c r="H23" s="204"/>
      <c r="I23" s="202"/>
      <c r="J23" s="206"/>
      <c r="K23" s="203"/>
      <c r="L23" s="204"/>
      <c r="M23" s="195"/>
      <c r="N23" s="196"/>
      <c r="O23" s="196"/>
      <c r="P23" s="196"/>
      <c r="Q23" s="196"/>
      <c r="R23" s="196"/>
      <c r="S23" s="196"/>
      <c r="T23" s="196"/>
      <c r="U23" s="196"/>
      <c r="V23" s="196"/>
      <c r="W23" s="196"/>
      <c r="X23" s="196"/>
    </row>
    <row r="24" spans="1:24" ht="11.25" customHeight="1" x14ac:dyDescent="0.25">
      <c r="A24" s="249" t="s">
        <v>1634</v>
      </c>
      <c r="B24" s="295"/>
      <c r="C24" s="203"/>
      <c r="D24" s="203"/>
      <c r="E24" s="204"/>
      <c r="F24" s="205"/>
      <c r="G24" s="203"/>
      <c r="H24" s="204"/>
      <c r="I24" s="202"/>
      <c r="J24" s="206"/>
      <c r="K24" s="203"/>
      <c r="L24" s="204"/>
      <c r="M24" s="195"/>
      <c r="N24" s="196"/>
      <c r="O24" s="196"/>
      <c r="P24" s="196"/>
      <c r="Q24" s="196"/>
      <c r="R24" s="196"/>
      <c r="S24" s="196"/>
      <c r="T24" s="196"/>
      <c r="U24" s="196"/>
      <c r="V24" s="196"/>
      <c r="W24" s="196"/>
      <c r="X24" s="196"/>
    </row>
    <row r="25" spans="1:24" ht="11.25" customHeight="1" x14ac:dyDescent="0.25">
      <c r="A25" s="254" t="s">
        <v>475</v>
      </c>
      <c r="B25" s="294">
        <v>2</v>
      </c>
      <c r="C25" s="203">
        <f>'SA1'!C63</f>
        <v>65886885</v>
      </c>
      <c r="D25" s="207">
        <f>'SA1'!D63</f>
        <v>63943926</v>
      </c>
      <c r="E25" s="204">
        <f>'SA1'!E63</f>
        <v>96797188</v>
      </c>
      <c r="F25" s="205">
        <f>'SA1'!F63</f>
        <v>101035795</v>
      </c>
      <c r="G25" s="203">
        <f>'SA1'!G63</f>
        <v>99603079.75</v>
      </c>
      <c r="H25" s="204">
        <f>'SA1'!H63</f>
        <v>99603079.75</v>
      </c>
      <c r="I25" s="202">
        <f>'SA1'!I63</f>
        <v>56915963.659999996</v>
      </c>
      <c r="J25" s="206">
        <f>'SA1'!J63</f>
        <v>107340510.12</v>
      </c>
      <c r="K25" s="203">
        <f>'SA1'!K63</f>
        <v>113673600.21707998</v>
      </c>
      <c r="L25" s="204">
        <f>'SA1'!L63</f>
        <v>120039321.82923649</v>
      </c>
      <c r="M25" s="195"/>
      <c r="N25" s="196"/>
      <c r="O25" s="196"/>
      <c r="P25" s="196"/>
      <c r="Q25" s="196"/>
      <c r="R25" s="196"/>
      <c r="S25" s="196"/>
      <c r="T25" s="196"/>
      <c r="U25" s="196"/>
      <c r="V25" s="196"/>
      <c r="W25" s="196"/>
      <c r="X25" s="196"/>
    </row>
    <row r="26" spans="1:24" ht="11.25" customHeight="1" x14ac:dyDescent="0.25">
      <c r="A26" s="254" t="s">
        <v>528</v>
      </c>
      <c r="B26" s="294"/>
      <c r="C26" s="1606"/>
      <c r="D26" s="1606">
        <v>15884937</v>
      </c>
      <c r="E26" s="1628">
        <v>17836258</v>
      </c>
      <c r="F26" s="1629">
        <v>19091720</v>
      </c>
      <c r="G26" s="1606">
        <v>18354089.079999998</v>
      </c>
      <c r="H26" s="1628">
        <v>18354089.079999998</v>
      </c>
      <c r="I26" s="1630">
        <v>10423254</v>
      </c>
      <c r="J26" s="1608">
        <v>18462499.520000003</v>
      </c>
      <c r="K26" s="1606">
        <f>J26*1.059</f>
        <v>19551786.991680004</v>
      </c>
      <c r="L26" s="1628">
        <f>K26*1.056</f>
        <v>20646687.063214086</v>
      </c>
      <c r="M26" s="195"/>
      <c r="N26" s="196"/>
      <c r="O26" s="196"/>
      <c r="P26" s="196"/>
      <c r="Q26" s="196"/>
      <c r="R26" s="196"/>
      <c r="S26" s="196"/>
      <c r="T26" s="196"/>
      <c r="U26" s="196"/>
      <c r="V26" s="196"/>
      <c r="W26" s="196"/>
      <c r="X26" s="196"/>
    </row>
    <row r="27" spans="1:24" ht="11.25" customHeight="1" x14ac:dyDescent="0.25">
      <c r="A27" s="254" t="s">
        <v>1455</v>
      </c>
      <c r="B27" s="294">
        <v>3</v>
      </c>
      <c r="C27" s="1606">
        <v>44651056</v>
      </c>
      <c r="D27" s="1606"/>
      <c r="E27" s="1628">
        <v>147185171</v>
      </c>
      <c r="F27" s="1629">
        <v>55997199.890000001</v>
      </c>
      <c r="G27" s="1606">
        <v>55997199.890000001</v>
      </c>
      <c r="H27" s="1628">
        <v>55997199.890000001</v>
      </c>
      <c r="I27" s="1630">
        <v>0</v>
      </c>
      <c r="J27" s="1608">
        <f>A3A!I212</f>
        <v>58685065</v>
      </c>
      <c r="K27" s="1606">
        <f>J27*1.059</f>
        <v>62147483.834999993</v>
      </c>
      <c r="L27" s="1628">
        <f>K27*1.056</f>
        <v>65627742.929759994</v>
      </c>
      <c r="M27" s="195"/>
      <c r="N27" s="196"/>
      <c r="O27" s="196"/>
      <c r="P27" s="196"/>
      <c r="Q27" s="196"/>
      <c r="R27" s="196"/>
      <c r="S27" s="196"/>
      <c r="T27" s="196"/>
      <c r="U27" s="196"/>
      <c r="V27" s="196"/>
      <c r="W27" s="196"/>
      <c r="X27" s="196"/>
    </row>
    <row r="28" spans="1:24" ht="11.25" customHeight="1" x14ac:dyDescent="0.25">
      <c r="A28" s="254" t="s">
        <v>1484</v>
      </c>
      <c r="B28" s="294">
        <v>2</v>
      </c>
      <c r="C28" s="203">
        <f>'SA1'!C79</f>
        <v>64066096</v>
      </c>
      <c r="D28" s="207">
        <f>'SA1'!D79</f>
        <v>149019344</v>
      </c>
      <c r="E28" s="204">
        <f>'SA1'!E79</f>
        <v>130728341</v>
      </c>
      <c r="F28" s="205">
        <f>'SA1'!F79</f>
        <v>174084397.236</v>
      </c>
      <c r="G28" s="203">
        <f>'SA1'!G79</f>
        <v>43649999.996000007</v>
      </c>
      <c r="H28" s="204">
        <f>'SA1'!H79</f>
        <v>43649999.996000007</v>
      </c>
      <c r="I28" s="202">
        <f>'SA1'!I79</f>
        <v>0</v>
      </c>
      <c r="J28" s="206">
        <f>'SA1'!J79</f>
        <v>151000100</v>
      </c>
      <c r="K28" s="203">
        <f>'SA1'!K79</f>
        <v>159909105.90000001</v>
      </c>
      <c r="L28" s="204">
        <f>'SA1'!L79</f>
        <v>168864015.83040002</v>
      </c>
      <c r="M28" s="208"/>
      <c r="N28" s="209"/>
      <c r="O28" s="209"/>
      <c r="P28" s="209"/>
      <c r="Q28" s="209"/>
      <c r="R28" s="209"/>
      <c r="S28" s="209"/>
      <c r="T28" s="209"/>
      <c r="U28" s="209"/>
      <c r="V28" s="209"/>
      <c r="W28" s="209"/>
      <c r="X28" s="209"/>
    </row>
    <row r="29" spans="1:24" ht="11.25" customHeight="1" x14ac:dyDescent="0.25">
      <c r="A29" s="254" t="s">
        <v>1546</v>
      </c>
      <c r="B29" s="294"/>
      <c r="C29" s="1606">
        <v>0</v>
      </c>
      <c r="D29" s="1606">
        <v>0</v>
      </c>
      <c r="E29" s="1628">
        <v>0</v>
      </c>
      <c r="F29" s="1629">
        <v>0</v>
      </c>
      <c r="G29" s="1606">
        <v>0</v>
      </c>
      <c r="H29" s="1628">
        <v>0</v>
      </c>
      <c r="I29" s="1630">
        <v>0</v>
      </c>
      <c r="J29" s="1608">
        <v>0</v>
      </c>
      <c r="K29" s="1606">
        <v>0</v>
      </c>
      <c r="L29" s="1628">
        <v>0</v>
      </c>
      <c r="M29" s="195"/>
      <c r="N29" s="196"/>
      <c r="O29" s="196"/>
      <c r="P29" s="196"/>
      <c r="Q29" s="196"/>
      <c r="R29" s="196"/>
      <c r="S29" s="196"/>
      <c r="T29" s="196"/>
      <c r="U29" s="196"/>
      <c r="V29" s="196"/>
      <c r="W29" s="196"/>
      <c r="X29" s="196"/>
    </row>
    <row r="30" spans="1:24" ht="11.25" customHeight="1" x14ac:dyDescent="0.25">
      <c r="A30" s="254" t="s">
        <v>477</v>
      </c>
      <c r="B30" s="294">
        <v>2</v>
      </c>
      <c r="C30" s="203">
        <f>'SA1'!C84</f>
        <v>97566825</v>
      </c>
      <c r="D30" s="207">
        <f>'SA1'!D84</f>
        <v>0</v>
      </c>
      <c r="E30" s="204">
        <f>'SA1'!E84</f>
        <v>110950867</v>
      </c>
      <c r="F30" s="205">
        <f>'SA1'!F84</f>
        <v>100000000</v>
      </c>
      <c r="G30" s="203">
        <f>'SA1'!G84</f>
        <v>62054205.450000003</v>
      </c>
      <c r="H30" s="204">
        <f>'SA1'!H84</f>
        <v>62054205.450000003</v>
      </c>
      <c r="I30" s="202">
        <f>'SA1'!I84</f>
        <v>50243531</v>
      </c>
      <c r="J30" s="206">
        <f>'SA1'!J84</f>
        <v>149641061</v>
      </c>
      <c r="K30" s="203">
        <f>'SA1'!K84</f>
        <v>158469883.59899998</v>
      </c>
      <c r="L30" s="204">
        <f>'SA1'!L84</f>
        <v>167344197.08054399</v>
      </c>
      <c r="M30" s="195"/>
      <c r="N30" s="196"/>
      <c r="O30" s="196"/>
      <c r="P30" s="196"/>
      <c r="Q30" s="196"/>
      <c r="R30" s="196"/>
      <c r="S30" s="196"/>
      <c r="T30" s="196"/>
      <c r="U30" s="196"/>
      <c r="V30" s="196"/>
      <c r="W30" s="196"/>
      <c r="X30" s="196"/>
    </row>
    <row r="31" spans="1:24" ht="11.25" customHeight="1" x14ac:dyDescent="0.25">
      <c r="A31" s="254" t="s">
        <v>1514</v>
      </c>
      <c r="B31" s="294">
        <v>8</v>
      </c>
      <c r="C31" s="1631">
        <v>18468648</v>
      </c>
      <c r="D31" s="1631"/>
      <c r="E31" s="1632">
        <v>0</v>
      </c>
      <c r="F31" s="1635">
        <v>2550000</v>
      </c>
      <c r="G31" s="1631">
        <v>1247022.24</v>
      </c>
      <c r="H31" s="1632">
        <v>1247022.24</v>
      </c>
      <c r="I31" s="1634">
        <v>360937</v>
      </c>
      <c r="J31" s="1635">
        <v>1100000</v>
      </c>
      <c r="K31" s="1631">
        <f>J31*1.059</f>
        <v>1164900</v>
      </c>
      <c r="L31" s="1632">
        <f>K31*1.056</f>
        <v>1230134.4000000001</v>
      </c>
      <c r="M31" s="195"/>
      <c r="N31" s="196"/>
      <c r="O31" s="196"/>
      <c r="P31" s="196"/>
      <c r="Q31" s="196"/>
      <c r="R31" s="196"/>
      <c r="S31" s="196"/>
      <c r="T31" s="196"/>
      <c r="U31" s="196"/>
      <c r="V31" s="196"/>
      <c r="W31" s="196"/>
      <c r="X31" s="196"/>
    </row>
    <row r="32" spans="1:24" ht="11.25" customHeight="1" x14ac:dyDescent="0.25">
      <c r="A32" s="254" t="s">
        <v>478</v>
      </c>
      <c r="B32" s="294"/>
      <c r="C32" s="203">
        <f>'SA1'!C123</f>
        <v>0</v>
      </c>
      <c r="D32" s="207">
        <f>'SA1'!D123</f>
        <v>0</v>
      </c>
      <c r="E32" s="204">
        <f>'SA1'!E123</f>
        <v>10084751</v>
      </c>
      <c r="F32" s="205">
        <f>'SA1'!F123</f>
        <v>6300000</v>
      </c>
      <c r="G32" s="203">
        <f>'SA1'!G123</f>
        <v>6000000</v>
      </c>
      <c r="H32" s="204">
        <f>'SA1'!H123</f>
        <v>6000000</v>
      </c>
      <c r="I32" s="202">
        <f>'SA1'!I123</f>
        <v>5909455</v>
      </c>
      <c r="J32" s="206">
        <f>'SA1'!J123</f>
        <v>11000000</v>
      </c>
      <c r="K32" s="203">
        <f>'SA1'!K123</f>
        <v>11649000</v>
      </c>
      <c r="L32" s="204">
        <f>'SA1'!L123</f>
        <v>12301344</v>
      </c>
      <c r="M32" s="195"/>
      <c r="N32" s="196"/>
      <c r="O32" s="196"/>
      <c r="P32" s="196"/>
      <c r="Q32" s="196"/>
      <c r="R32" s="196"/>
      <c r="S32" s="196"/>
      <c r="T32" s="196"/>
      <c r="U32" s="196"/>
      <c r="V32" s="196"/>
      <c r="W32" s="196"/>
      <c r="X32" s="196"/>
    </row>
    <row r="33" spans="1:24" ht="11.25" customHeight="1" x14ac:dyDescent="0.25">
      <c r="A33" s="254" t="s">
        <v>783</v>
      </c>
      <c r="B33" s="294"/>
      <c r="C33" s="1059">
        <f>'SA1'!C89</f>
        <v>1740432</v>
      </c>
      <c r="D33" s="1059">
        <f>'SA1'!D89</f>
        <v>0</v>
      </c>
      <c r="E33" s="1060">
        <f>'SA1'!E89</f>
        <v>2842000</v>
      </c>
      <c r="F33" s="1061">
        <f>'SA1'!F89</f>
        <v>20100543.648256004</v>
      </c>
      <c r="G33" s="1059">
        <f>'SA1'!G89</f>
        <v>19224237.268256001</v>
      </c>
      <c r="H33" s="1060">
        <f>'SA1'!H89</f>
        <v>19224237.268256001</v>
      </c>
      <c r="I33" s="1062">
        <f>'SA1'!I89</f>
        <v>9470720</v>
      </c>
      <c r="J33" s="1063">
        <f>'SA1'!J89</f>
        <v>18561640</v>
      </c>
      <c r="K33" s="1059">
        <f>'SA1'!K89</f>
        <v>19656776.759999998</v>
      </c>
      <c r="L33" s="1060">
        <f>'SA1'!L89</f>
        <v>20757556.258560002</v>
      </c>
      <c r="M33" s="195"/>
      <c r="N33" s="196"/>
      <c r="O33" s="196"/>
      <c r="P33" s="196"/>
      <c r="Q33" s="196"/>
      <c r="R33" s="196"/>
      <c r="S33" s="196"/>
      <c r="T33" s="196"/>
      <c r="U33" s="196"/>
      <c r="V33" s="196"/>
      <c r="W33" s="196"/>
      <c r="X33" s="196"/>
    </row>
    <row r="34" spans="1:24" ht="11.25" customHeight="1" x14ac:dyDescent="0.25">
      <c r="A34" s="254" t="s">
        <v>950</v>
      </c>
      <c r="B34" s="294" t="s">
        <v>648</v>
      </c>
      <c r="C34" s="203">
        <f>'SA1'!C153</f>
        <v>0</v>
      </c>
      <c r="D34" s="207">
        <f>'SA1'!D153</f>
        <v>234407510</v>
      </c>
      <c r="E34" s="204">
        <f>'SA1'!E153</f>
        <v>117713653</v>
      </c>
      <c r="F34" s="205">
        <f>'SA1'!F153</f>
        <v>63044058</v>
      </c>
      <c r="G34" s="203">
        <f>'SA1'!G153</f>
        <v>54387448.069999993</v>
      </c>
      <c r="H34" s="204">
        <f>'SA1'!H153</f>
        <v>54387448.069999993</v>
      </c>
      <c r="I34" s="202">
        <f>'SA1'!I153</f>
        <v>42145324</v>
      </c>
      <c r="J34" s="206">
        <f>'SA1'!J153</f>
        <v>114152702.99999988</v>
      </c>
      <c r="K34" s="203">
        <f>'SA1'!K153</f>
        <v>120887712.477</v>
      </c>
      <c r="L34" s="204">
        <f>'SA1'!L153</f>
        <v>127657424.37571204</v>
      </c>
      <c r="M34" s="195"/>
      <c r="N34" s="196"/>
      <c r="O34" s="196"/>
      <c r="P34" s="196"/>
      <c r="Q34" s="196"/>
      <c r="R34" s="196"/>
      <c r="S34" s="196"/>
      <c r="T34" s="196"/>
      <c r="U34" s="196"/>
      <c r="V34" s="196"/>
      <c r="W34" s="196"/>
      <c r="X34" s="196"/>
    </row>
    <row r="35" spans="1:24" ht="11.25" customHeight="1" x14ac:dyDescent="0.25">
      <c r="A35" s="250" t="s">
        <v>403</v>
      </c>
      <c r="B35" s="293"/>
      <c r="C35" s="1631">
        <v>74923943</v>
      </c>
      <c r="D35" s="1631">
        <v>17056118</v>
      </c>
      <c r="E35" s="1628">
        <v>32944</v>
      </c>
      <c r="F35" s="1633">
        <v>0</v>
      </c>
      <c r="G35" s="1631">
        <v>0</v>
      </c>
      <c r="H35" s="1628">
        <v>0</v>
      </c>
      <c r="I35" s="1630">
        <v>0</v>
      </c>
      <c r="J35" s="1635">
        <v>0</v>
      </c>
      <c r="K35" s="1631">
        <v>0</v>
      </c>
      <c r="L35" s="1632">
        <v>0</v>
      </c>
      <c r="M35" s="195"/>
      <c r="N35" s="196"/>
      <c r="O35" s="196"/>
      <c r="P35" s="196"/>
      <c r="Q35" s="196"/>
      <c r="R35" s="196"/>
      <c r="S35" s="196"/>
      <c r="T35" s="196"/>
      <c r="U35" s="196"/>
      <c r="V35" s="196"/>
      <c r="W35" s="196"/>
      <c r="X35" s="196"/>
    </row>
    <row r="36" spans="1:24" ht="11.25" customHeight="1" x14ac:dyDescent="0.25">
      <c r="A36" s="1380" t="s">
        <v>1635</v>
      </c>
      <c r="B36" s="1375"/>
      <c r="C36" s="1376">
        <f t="shared" ref="C36:L36" si="3">SUM(C25:C35)</f>
        <v>367303885</v>
      </c>
      <c r="D36" s="1376">
        <f>SUM(D25:D35)</f>
        <v>480311835</v>
      </c>
      <c r="E36" s="1377">
        <f t="shared" si="3"/>
        <v>634171173</v>
      </c>
      <c r="F36" s="1378">
        <f t="shared" si="3"/>
        <v>542203713.77425599</v>
      </c>
      <c r="G36" s="1376">
        <f t="shared" si="3"/>
        <v>360517281.74425602</v>
      </c>
      <c r="H36" s="1377">
        <f t="shared" si="3"/>
        <v>360517281.74425602</v>
      </c>
      <c r="I36" s="1378">
        <f t="shared" si="3"/>
        <v>175469184.66</v>
      </c>
      <c r="J36" s="1379">
        <f t="shared" si="3"/>
        <v>629943578.63999987</v>
      </c>
      <c r="K36" s="1376">
        <f t="shared" si="3"/>
        <v>667110249.77976</v>
      </c>
      <c r="L36" s="1377">
        <f t="shared" si="3"/>
        <v>704468423.76742661</v>
      </c>
      <c r="M36" s="199">
        <f t="shared" ref="M36:X36" si="4">SUM(M25:M35)</f>
        <v>0</v>
      </c>
      <c r="N36" s="200">
        <f t="shared" si="4"/>
        <v>0</v>
      </c>
      <c r="O36" s="200">
        <f t="shared" si="4"/>
        <v>0</v>
      </c>
      <c r="P36" s="200">
        <f t="shared" si="4"/>
        <v>0</v>
      </c>
      <c r="Q36" s="200">
        <f t="shared" si="4"/>
        <v>0</v>
      </c>
      <c r="R36" s="200">
        <f t="shared" si="4"/>
        <v>0</v>
      </c>
      <c r="S36" s="200">
        <f t="shared" si="4"/>
        <v>0</v>
      </c>
      <c r="T36" s="200">
        <f t="shared" si="4"/>
        <v>0</v>
      </c>
      <c r="U36" s="200">
        <f t="shared" si="4"/>
        <v>0</v>
      </c>
      <c r="V36" s="200">
        <f t="shared" si="4"/>
        <v>0</v>
      </c>
      <c r="W36" s="200">
        <f t="shared" si="4"/>
        <v>0</v>
      </c>
      <c r="X36" s="200">
        <f t="shared" si="4"/>
        <v>0</v>
      </c>
    </row>
    <row r="37" spans="1:24" ht="5.0999999999999996" customHeight="1" x14ac:dyDescent="0.25">
      <c r="A37" s="273"/>
      <c r="B37" s="293"/>
      <c r="C37" s="213"/>
      <c r="D37" s="213"/>
      <c r="E37" s="214"/>
      <c r="F37" s="215"/>
      <c r="G37" s="213"/>
      <c r="H37" s="214"/>
      <c r="I37" s="215"/>
      <c r="J37" s="216"/>
      <c r="K37" s="213"/>
      <c r="L37" s="214"/>
      <c r="M37" s="222"/>
      <c r="N37" s="223"/>
      <c r="O37" s="223"/>
      <c r="P37" s="223"/>
      <c r="Q37" s="223"/>
      <c r="R37" s="223"/>
      <c r="S37" s="223"/>
      <c r="T37" s="223"/>
      <c r="U37" s="223"/>
      <c r="V37" s="223"/>
      <c r="W37" s="223"/>
      <c r="X37" s="223"/>
    </row>
    <row r="38" spans="1:24" ht="12" customHeight="1" x14ac:dyDescent="0.25">
      <c r="A38" s="265" t="s">
        <v>1705</v>
      </c>
      <c r="B38" s="293"/>
      <c r="C38" s="218">
        <f t="shared" ref="C38:L38" si="5">C22-C36</f>
        <v>14225858</v>
      </c>
      <c r="D38" s="218">
        <f t="shared" si="5"/>
        <v>-106632576</v>
      </c>
      <c r="E38" s="219">
        <f t="shared" si="5"/>
        <v>-222557190.52999997</v>
      </c>
      <c r="F38" s="220">
        <f t="shared" si="5"/>
        <v>-179263340.78625602</v>
      </c>
      <c r="G38" s="218">
        <f t="shared" si="5"/>
        <v>29712922.933743954</v>
      </c>
      <c r="H38" s="219">
        <f t="shared" si="5"/>
        <v>29712922.933743954</v>
      </c>
      <c r="I38" s="220">
        <f t="shared" si="5"/>
        <v>96357589.340000004</v>
      </c>
      <c r="J38" s="221">
        <f t="shared" si="5"/>
        <v>-141106501.8499999</v>
      </c>
      <c r="K38" s="218">
        <f t="shared" si="5"/>
        <v>-149431785.45915002</v>
      </c>
      <c r="L38" s="219">
        <f t="shared" si="5"/>
        <v>-157799965.44486248</v>
      </c>
      <c r="M38" s="222">
        <f t="shared" ref="M38:X38" si="6">M22+M36</f>
        <v>0</v>
      </c>
      <c r="N38" s="223">
        <f t="shared" si="6"/>
        <v>0</v>
      </c>
      <c r="O38" s="223">
        <f t="shared" si="6"/>
        <v>0</v>
      </c>
      <c r="P38" s="223">
        <f t="shared" si="6"/>
        <v>0</v>
      </c>
      <c r="Q38" s="223">
        <f t="shared" si="6"/>
        <v>0</v>
      </c>
      <c r="R38" s="223">
        <f t="shared" si="6"/>
        <v>0</v>
      </c>
      <c r="S38" s="223">
        <f t="shared" si="6"/>
        <v>0</v>
      </c>
      <c r="T38" s="223">
        <f t="shared" si="6"/>
        <v>0</v>
      </c>
      <c r="U38" s="223">
        <f t="shared" si="6"/>
        <v>0</v>
      </c>
      <c r="V38" s="223">
        <f t="shared" si="6"/>
        <v>0</v>
      </c>
      <c r="W38" s="223">
        <f t="shared" si="6"/>
        <v>0</v>
      </c>
      <c r="X38" s="223">
        <f t="shared" si="6"/>
        <v>0</v>
      </c>
    </row>
    <row r="39" spans="1:24" ht="11.25" customHeight="1" x14ac:dyDescent="0.25">
      <c r="A39" s="250" t="s">
        <v>1335</v>
      </c>
      <c r="B39" s="293"/>
      <c r="C39" s="1606"/>
      <c r="D39" s="1606">
        <v>137122277</v>
      </c>
      <c r="E39" s="1628">
        <v>90210744</v>
      </c>
      <c r="F39" s="1629">
        <v>110819750</v>
      </c>
      <c r="G39" s="1606">
        <v>111340502.91</v>
      </c>
      <c r="H39" s="1628">
        <v>111340502.91</v>
      </c>
      <c r="I39" s="1630">
        <v>0</v>
      </c>
      <c r="J39" s="1608">
        <f>A3A!I82+A3A!I61</f>
        <v>120239000</v>
      </c>
      <c r="K39" s="1606">
        <f>J39*1.059</f>
        <v>127333101</v>
      </c>
      <c r="L39" s="1628">
        <f>K39*1.056</f>
        <v>134463754.65600002</v>
      </c>
      <c r="M39" s="195"/>
      <c r="N39" s="196"/>
      <c r="O39" s="196"/>
      <c r="P39" s="196"/>
      <c r="Q39" s="196"/>
      <c r="R39" s="196"/>
      <c r="S39" s="196"/>
      <c r="T39" s="196"/>
      <c r="U39" s="196"/>
      <c r="V39" s="196"/>
      <c r="W39" s="196"/>
      <c r="X39" s="196"/>
    </row>
    <row r="40" spans="1:24" ht="11.25" customHeight="1" x14ac:dyDescent="0.25">
      <c r="A40" s="250" t="s">
        <v>813</v>
      </c>
      <c r="B40" s="293">
        <v>6</v>
      </c>
      <c r="C40" s="203">
        <f>'SA1'!C72</f>
        <v>0</v>
      </c>
      <c r="D40" s="207">
        <f>'SA1'!D72</f>
        <v>0</v>
      </c>
      <c r="E40" s="204">
        <f>'SA1'!E72</f>
        <v>0</v>
      </c>
      <c r="F40" s="205">
        <f>'SA1'!F72</f>
        <v>0</v>
      </c>
      <c r="G40" s="203">
        <f>'SA1'!G72</f>
        <v>0</v>
      </c>
      <c r="H40" s="204">
        <f>'SA1'!H72</f>
        <v>0</v>
      </c>
      <c r="I40" s="202">
        <f>'SA1'!I72</f>
        <v>0</v>
      </c>
      <c r="J40" s="206">
        <f>'SA1'!J72</f>
        <v>0</v>
      </c>
      <c r="K40" s="203">
        <f>'SA1'!K72</f>
        <v>0</v>
      </c>
      <c r="L40" s="204">
        <f>'SA1'!L72</f>
        <v>0</v>
      </c>
      <c r="M40" s="195"/>
      <c r="N40" s="196"/>
      <c r="O40" s="196"/>
      <c r="P40" s="196"/>
      <c r="Q40" s="196"/>
      <c r="R40" s="196"/>
      <c r="S40" s="196"/>
      <c r="T40" s="196"/>
      <c r="U40" s="196"/>
      <c r="V40" s="196"/>
      <c r="W40" s="196"/>
      <c r="X40" s="196"/>
    </row>
    <row r="41" spans="1:24" ht="11.25" customHeight="1" x14ac:dyDescent="0.25">
      <c r="A41" s="250" t="s">
        <v>39</v>
      </c>
      <c r="B41" s="293"/>
      <c r="C41" s="1631">
        <v>0</v>
      </c>
      <c r="D41" s="1606">
        <v>0</v>
      </c>
      <c r="E41" s="1628">
        <v>0</v>
      </c>
      <c r="F41" s="1636">
        <v>0</v>
      </c>
      <c r="G41" s="1637">
        <v>0</v>
      </c>
      <c r="H41" s="1638">
        <v>0</v>
      </c>
      <c r="I41" s="1630">
        <v>0</v>
      </c>
      <c r="J41" s="1639">
        <v>0</v>
      </c>
      <c r="K41" s="1637">
        <v>0</v>
      </c>
      <c r="L41" s="1638">
        <v>0</v>
      </c>
      <c r="M41" s="195"/>
      <c r="N41" s="196"/>
      <c r="O41" s="196"/>
      <c r="P41" s="196"/>
      <c r="Q41" s="196"/>
      <c r="R41" s="196"/>
      <c r="S41" s="196"/>
      <c r="T41" s="196"/>
      <c r="U41" s="196"/>
      <c r="V41" s="196"/>
      <c r="W41" s="196"/>
      <c r="X41" s="196"/>
    </row>
    <row r="42" spans="1:24" ht="25.5" x14ac:dyDescent="0.25">
      <c r="A42" s="297" t="s">
        <v>435</v>
      </c>
      <c r="B42" s="293"/>
      <c r="C42" s="298">
        <f t="shared" ref="C42:L42" si="7">SUM(C38:C41)</f>
        <v>14225858</v>
      </c>
      <c r="D42" s="298">
        <f t="shared" si="7"/>
        <v>30489701</v>
      </c>
      <c r="E42" s="300">
        <f t="shared" si="7"/>
        <v>-132346446.52999997</v>
      </c>
      <c r="F42" s="301">
        <f t="shared" si="7"/>
        <v>-68443590.786256015</v>
      </c>
      <c r="G42" s="298">
        <f t="shared" si="7"/>
        <v>141053425.84374395</v>
      </c>
      <c r="H42" s="300">
        <f t="shared" si="7"/>
        <v>141053425.84374395</v>
      </c>
      <c r="I42" s="301">
        <f t="shared" si="7"/>
        <v>96357589.340000004</v>
      </c>
      <c r="J42" s="302">
        <f t="shared" si="7"/>
        <v>-20867501.849999905</v>
      </c>
      <c r="K42" s="298">
        <f t="shared" si="7"/>
        <v>-22098684.459150016</v>
      </c>
      <c r="L42" s="300">
        <f t="shared" si="7"/>
        <v>-23336210.788862467</v>
      </c>
      <c r="M42" s="195"/>
      <c r="N42" s="196"/>
      <c r="O42" s="196"/>
      <c r="P42" s="196"/>
      <c r="Q42" s="196"/>
      <c r="R42" s="196"/>
      <c r="S42" s="196"/>
      <c r="T42" s="196"/>
      <c r="U42" s="196"/>
      <c r="V42" s="196"/>
      <c r="W42" s="196"/>
      <c r="X42" s="196"/>
    </row>
    <row r="43" spans="1:24" ht="11.25" customHeight="1" x14ac:dyDescent="0.25">
      <c r="A43" s="250" t="s">
        <v>1041</v>
      </c>
      <c r="B43" s="293"/>
      <c r="C43" s="1631">
        <v>0</v>
      </c>
      <c r="D43" s="1631">
        <v>0</v>
      </c>
      <c r="E43" s="1632">
        <v>0</v>
      </c>
      <c r="F43" s="1633">
        <v>0</v>
      </c>
      <c r="G43" s="1631">
        <v>0</v>
      </c>
      <c r="H43" s="1632">
        <v>0</v>
      </c>
      <c r="I43" s="1633">
        <v>0</v>
      </c>
      <c r="J43" s="1635">
        <v>0</v>
      </c>
      <c r="K43" s="1631">
        <v>0</v>
      </c>
      <c r="L43" s="1632">
        <v>0</v>
      </c>
      <c r="M43" s="195"/>
      <c r="N43" s="196"/>
      <c r="O43" s="196"/>
      <c r="P43" s="196"/>
      <c r="Q43" s="196"/>
      <c r="R43" s="196"/>
      <c r="S43" s="196"/>
      <c r="T43" s="196"/>
      <c r="U43" s="196"/>
      <c r="V43" s="196"/>
      <c r="W43" s="196"/>
      <c r="X43" s="196"/>
    </row>
    <row r="44" spans="1:24" ht="11.25" customHeight="1" x14ac:dyDescent="0.25">
      <c r="A44" s="303" t="s">
        <v>1042</v>
      </c>
      <c r="B44" s="293"/>
      <c r="C44" s="213">
        <f t="shared" ref="C44:L44" si="8">C42-C43</f>
        <v>14225858</v>
      </c>
      <c r="D44" s="213">
        <f t="shared" si="8"/>
        <v>30489701</v>
      </c>
      <c r="E44" s="214">
        <f t="shared" si="8"/>
        <v>-132346446.52999997</v>
      </c>
      <c r="F44" s="215">
        <f t="shared" si="8"/>
        <v>-68443590.786256015</v>
      </c>
      <c r="G44" s="213">
        <f t="shared" si="8"/>
        <v>141053425.84374395</v>
      </c>
      <c r="H44" s="214">
        <f t="shared" si="8"/>
        <v>141053425.84374395</v>
      </c>
      <c r="I44" s="215">
        <f t="shared" si="8"/>
        <v>96357589.340000004</v>
      </c>
      <c r="J44" s="216">
        <f t="shared" si="8"/>
        <v>-20867501.849999905</v>
      </c>
      <c r="K44" s="213">
        <f t="shared" si="8"/>
        <v>-22098684.459150016</v>
      </c>
      <c r="L44" s="214">
        <f t="shared" si="8"/>
        <v>-23336210.788862467</v>
      </c>
      <c r="M44" s="195"/>
      <c r="N44" s="196"/>
      <c r="O44" s="196"/>
      <c r="P44" s="196"/>
      <c r="Q44" s="196"/>
      <c r="R44" s="196"/>
      <c r="S44" s="196"/>
      <c r="T44" s="196"/>
      <c r="U44" s="196"/>
      <c r="V44" s="196"/>
      <c r="W44" s="196"/>
      <c r="X44" s="196"/>
    </row>
    <row r="45" spans="1:24" ht="11.25" customHeight="1" x14ac:dyDescent="0.25">
      <c r="A45" s="250" t="s">
        <v>1108</v>
      </c>
      <c r="B45" s="293"/>
      <c r="C45" s="1631">
        <v>0</v>
      </c>
      <c r="D45" s="1631">
        <v>0</v>
      </c>
      <c r="E45" s="1632">
        <v>0</v>
      </c>
      <c r="F45" s="1633">
        <v>0</v>
      </c>
      <c r="G45" s="1631">
        <v>0</v>
      </c>
      <c r="H45" s="1632">
        <v>0</v>
      </c>
      <c r="I45" s="1633">
        <v>0</v>
      </c>
      <c r="J45" s="1635">
        <v>0</v>
      </c>
      <c r="K45" s="1631">
        <v>0</v>
      </c>
      <c r="L45" s="1632">
        <v>0</v>
      </c>
      <c r="M45" s="195"/>
      <c r="N45" s="196"/>
      <c r="O45" s="196"/>
      <c r="P45" s="196"/>
      <c r="Q45" s="196"/>
      <c r="R45" s="196"/>
      <c r="S45" s="196"/>
      <c r="T45" s="196"/>
      <c r="U45" s="196"/>
      <c r="V45" s="196"/>
      <c r="W45" s="196"/>
      <c r="X45" s="196"/>
    </row>
    <row r="46" spans="1:24" x14ac:dyDescent="0.25">
      <c r="A46" s="303" t="s">
        <v>190</v>
      </c>
      <c r="B46" s="293"/>
      <c r="C46" s="298">
        <f t="shared" ref="C46:L46" si="9">SUM(C44:C45)</f>
        <v>14225858</v>
      </c>
      <c r="D46" s="298">
        <f t="shared" si="9"/>
        <v>30489701</v>
      </c>
      <c r="E46" s="300">
        <f t="shared" si="9"/>
        <v>-132346446.52999997</v>
      </c>
      <c r="F46" s="301">
        <f t="shared" si="9"/>
        <v>-68443590.786256015</v>
      </c>
      <c r="G46" s="298">
        <f t="shared" si="9"/>
        <v>141053425.84374395</v>
      </c>
      <c r="H46" s="300">
        <f t="shared" si="9"/>
        <v>141053425.84374395</v>
      </c>
      <c r="I46" s="301">
        <f t="shared" si="9"/>
        <v>96357589.340000004</v>
      </c>
      <c r="J46" s="302">
        <f t="shared" si="9"/>
        <v>-20867501.849999905</v>
      </c>
      <c r="K46" s="298">
        <f t="shared" si="9"/>
        <v>-22098684.459150016</v>
      </c>
      <c r="L46" s="300">
        <f t="shared" si="9"/>
        <v>-23336210.788862467</v>
      </c>
      <c r="M46" s="195"/>
      <c r="N46" s="196"/>
      <c r="O46" s="196"/>
      <c r="P46" s="196"/>
      <c r="Q46" s="196"/>
      <c r="R46" s="196"/>
      <c r="S46" s="196"/>
      <c r="T46" s="196"/>
      <c r="U46" s="196"/>
      <c r="V46" s="196"/>
      <c r="W46" s="196"/>
      <c r="X46" s="196"/>
    </row>
    <row r="47" spans="1:24" x14ac:dyDescent="0.25">
      <c r="A47" s="304" t="s">
        <v>458</v>
      </c>
      <c r="B47" s="293">
        <v>7</v>
      </c>
      <c r="C47" s="1631">
        <v>0</v>
      </c>
      <c r="D47" s="1631">
        <v>0</v>
      </c>
      <c r="E47" s="1632">
        <v>0</v>
      </c>
      <c r="F47" s="1629">
        <v>0</v>
      </c>
      <c r="G47" s="1606">
        <v>0</v>
      </c>
      <c r="H47" s="1628">
        <v>0</v>
      </c>
      <c r="I47" s="1629">
        <v>0</v>
      </c>
      <c r="J47" s="1608">
        <v>0</v>
      </c>
      <c r="K47" s="1606">
        <v>0</v>
      </c>
      <c r="L47" s="1628">
        <v>0</v>
      </c>
      <c r="M47" s="195"/>
      <c r="N47" s="196"/>
      <c r="O47" s="196"/>
      <c r="P47" s="196"/>
      <c r="Q47" s="196"/>
      <c r="R47" s="196"/>
      <c r="S47" s="196"/>
      <c r="T47" s="196"/>
      <c r="U47" s="196"/>
      <c r="V47" s="196"/>
      <c r="W47" s="196"/>
      <c r="X47" s="196"/>
    </row>
    <row r="48" spans="1:24" ht="13.5" thickBot="1" x14ac:dyDescent="0.3">
      <c r="A48" s="305" t="str">
        <f>result</f>
        <v>Surplus/(Deficit) for the year</v>
      </c>
      <c r="B48" s="306"/>
      <c r="C48" s="227">
        <f t="shared" ref="C48:L48" si="10">SUM(C46:C47)</f>
        <v>14225858</v>
      </c>
      <c r="D48" s="230">
        <f t="shared" si="10"/>
        <v>30489701</v>
      </c>
      <c r="E48" s="352">
        <f t="shared" si="10"/>
        <v>-132346446.52999997</v>
      </c>
      <c r="F48" s="353">
        <f t="shared" si="10"/>
        <v>-68443590.786256015</v>
      </c>
      <c r="G48" s="230">
        <f t="shared" si="10"/>
        <v>141053425.84374395</v>
      </c>
      <c r="H48" s="228">
        <f t="shared" si="10"/>
        <v>141053425.84374395</v>
      </c>
      <c r="I48" s="229">
        <f t="shared" si="10"/>
        <v>96357589.340000004</v>
      </c>
      <c r="J48" s="232">
        <f t="shared" si="10"/>
        <v>-20867501.849999905</v>
      </c>
      <c r="K48" s="230">
        <f t="shared" si="10"/>
        <v>-22098684.459150016</v>
      </c>
      <c r="L48" s="228">
        <f t="shared" si="10"/>
        <v>-23336210.788862467</v>
      </c>
      <c r="M48" s="233">
        <f t="shared" ref="M48:X48" si="11">M26+M47</f>
        <v>0</v>
      </c>
      <c r="N48" s="234">
        <f t="shared" si="11"/>
        <v>0</v>
      </c>
      <c r="O48" s="234">
        <f t="shared" si="11"/>
        <v>0</v>
      </c>
      <c r="P48" s="234">
        <f t="shared" si="11"/>
        <v>0</v>
      </c>
      <c r="Q48" s="234">
        <f t="shared" si="11"/>
        <v>0</v>
      </c>
      <c r="R48" s="234">
        <f t="shared" si="11"/>
        <v>0</v>
      </c>
      <c r="S48" s="234">
        <f t="shared" si="11"/>
        <v>0</v>
      </c>
      <c r="T48" s="234">
        <f t="shared" si="11"/>
        <v>0</v>
      </c>
      <c r="U48" s="234">
        <f t="shared" si="11"/>
        <v>0</v>
      </c>
      <c r="V48" s="234">
        <f t="shared" si="11"/>
        <v>0</v>
      </c>
      <c r="W48" s="234">
        <f t="shared" si="11"/>
        <v>0</v>
      </c>
      <c r="X48" s="234">
        <f t="shared" si="11"/>
        <v>0</v>
      </c>
    </row>
    <row r="49" spans="1:24" ht="13.5" thickTop="1" x14ac:dyDescent="0.25">
      <c r="A49" s="1257" t="str">
        <f>head27a</f>
        <v>References</v>
      </c>
      <c r="B49" s="1229"/>
      <c r="C49" s="1233"/>
      <c r="D49" s="1233"/>
      <c r="E49" s="1233"/>
      <c r="F49" s="1233"/>
      <c r="G49" s="1233"/>
      <c r="H49" s="1233"/>
      <c r="I49" s="1233"/>
      <c r="J49" s="1233"/>
      <c r="K49" s="1233"/>
      <c r="L49" s="1233"/>
      <c r="M49" s="241"/>
      <c r="N49" s="241"/>
      <c r="O49" s="241"/>
      <c r="P49" s="241"/>
      <c r="Q49" s="241"/>
      <c r="R49" s="241"/>
      <c r="S49" s="241"/>
      <c r="T49" s="241"/>
      <c r="U49" s="241"/>
      <c r="V49" s="241"/>
      <c r="W49" s="241"/>
      <c r="X49" s="241"/>
    </row>
    <row r="50" spans="1:24" ht="11.25" customHeight="1" x14ac:dyDescent="0.25">
      <c r="A50" s="287" t="s">
        <v>191</v>
      </c>
      <c r="B50" s="1229"/>
      <c r="C50" s="1232"/>
      <c r="D50" s="1232"/>
      <c r="E50" s="1233"/>
      <c r="F50" s="1233"/>
      <c r="G50" s="1233"/>
      <c r="H50" s="1233"/>
      <c r="I50" s="1233"/>
      <c r="J50" s="1233"/>
      <c r="K50" s="1233"/>
      <c r="L50" s="1233"/>
    </row>
    <row r="51" spans="1:24" ht="11.25" customHeight="1" x14ac:dyDescent="0.25">
      <c r="A51" s="1258" t="s">
        <v>784</v>
      </c>
      <c r="B51" s="1229"/>
      <c r="C51" s="1233"/>
      <c r="D51" s="1232"/>
      <c r="E51" s="1233"/>
      <c r="F51" s="1233"/>
      <c r="G51" s="1233"/>
      <c r="H51" s="1233"/>
      <c r="I51" s="1233"/>
      <c r="J51" s="1233"/>
      <c r="K51" s="1233"/>
      <c r="L51" s="1233"/>
    </row>
    <row r="52" spans="1:24" ht="11.25" customHeight="1" x14ac:dyDescent="0.25">
      <c r="A52" s="1258" t="s">
        <v>577</v>
      </c>
      <c r="B52" s="1229"/>
      <c r="C52" s="1233"/>
      <c r="D52" s="1232"/>
      <c r="E52" s="1233"/>
      <c r="F52" s="1233"/>
      <c r="G52" s="1233"/>
      <c r="H52" s="1233"/>
      <c r="I52" s="1233"/>
      <c r="J52" s="1233"/>
      <c r="K52" s="1233"/>
      <c r="L52" s="1233"/>
    </row>
    <row r="53" spans="1:24" ht="11.25" customHeight="1" x14ac:dyDescent="0.25">
      <c r="A53" s="1258" t="s">
        <v>578</v>
      </c>
      <c r="B53" s="1229"/>
      <c r="C53" s="1233"/>
      <c r="D53" s="1232"/>
      <c r="E53" s="1233"/>
      <c r="F53" s="1233"/>
      <c r="G53" s="1233"/>
      <c r="H53" s="1233"/>
      <c r="I53" s="1233"/>
      <c r="J53" s="1233"/>
      <c r="K53" s="1233"/>
      <c r="L53" s="1233"/>
    </row>
    <row r="54" spans="1:24" ht="11.25" customHeight="1" x14ac:dyDescent="0.25">
      <c r="A54" s="1258" t="s">
        <v>1248</v>
      </c>
      <c r="B54" s="1229"/>
      <c r="C54" s="1233"/>
      <c r="D54" s="1232"/>
      <c r="E54" s="1233"/>
      <c r="F54" s="1233"/>
      <c r="G54" s="1233"/>
      <c r="H54" s="1233"/>
      <c r="I54" s="1233"/>
      <c r="J54" s="1233"/>
      <c r="K54" s="1233"/>
      <c r="L54" s="1233"/>
    </row>
    <row r="55" spans="1:24" ht="11.25" customHeight="1" x14ac:dyDescent="0.25">
      <c r="A55" s="1258" t="s">
        <v>192</v>
      </c>
      <c r="B55" s="1229"/>
      <c r="C55" s="1233"/>
      <c r="D55" s="1232"/>
      <c r="E55" s="1233"/>
      <c r="F55" s="1233"/>
      <c r="G55" s="1233"/>
      <c r="H55" s="1233"/>
      <c r="I55" s="1233"/>
      <c r="J55" s="1233"/>
      <c r="K55" s="1233"/>
      <c r="L55" s="1233"/>
    </row>
    <row r="56" spans="1:24" ht="11.25" customHeight="1" x14ac:dyDescent="0.25">
      <c r="A56" s="1258" t="s">
        <v>1197</v>
      </c>
      <c r="B56" s="1229"/>
      <c r="C56" s="1233"/>
      <c r="D56" s="1232"/>
      <c r="E56" s="1233"/>
      <c r="F56" s="1233"/>
      <c r="G56" s="1233"/>
      <c r="H56" s="1233"/>
      <c r="I56" s="1233"/>
      <c r="J56" s="1233"/>
      <c r="K56" s="1233"/>
      <c r="L56" s="1233"/>
    </row>
    <row r="57" spans="1:24" ht="11.25" customHeight="1" x14ac:dyDescent="0.25">
      <c r="A57" s="1258" t="s">
        <v>899</v>
      </c>
      <c r="B57" s="1229"/>
      <c r="C57" s="1233"/>
      <c r="D57" s="1232"/>
      <c r="E57" s="1233"/>
      <c r="F57" s="1233"/>
      <c r="G57" s="1233"/>
      <c r="H57" s="1233"/>
      <c r="I57" s="1233"/>
      <c r="J57" s="1233"/>
      <c r="K57" s="1233"/>
      <c r="L57" s="1233"/>
    </row>
    <row r="58" spans="1:24" ht="11.25" customHeight="1" x14ac:dyDescent="0.25">
      <c r="A58" s="1259" t="s">
        <v>295</v>
      </c>
      <c r="B58" s="1189"/>
      <c r="C58" s="1236">
        <f>C46-'A3-FinPerf V'!C39</f>
        <v>0</v>
      </c>
      <c r="D58" s="1236">
        <f>D46-'A3-FinPerf V'!D39</f>
        <v>-0.43000006675720215</v>
      </c>
      <c r="E58" s="1236">
        <f>E46-'A3-FinPerf V'!E39</f>
        <v>1.1920928955078125E-7</v>
      </c>
      <c r="F58" s="1236">
        <f>F46-'A3-FinPerf V'!F39</f>
        <v>0</v>
      </c>
      <c r="G58" s="1236">
        <f>G46-'A3-FinPerf V'!G39</f>
        <v>3.9997994899749756E-3</v>
      </c>
      <c r="H58" s="1236">
        <f>H46-'A3-FinPerf V'!H39</f>
        <v>3.9997994899749756E-3</v>
      </c>
      <c r="I58" s="1236"/>
      <c r="J58" s="1236">
        <f>J46-'A3-FinPerf V'!I39</f>
        <v>0</v>
      </c>
      <c r="K58" s="1236">
        <f>K46-'A3-FinPerf V'!J39</f>
        <v>5.9604644775390625E-8</v>
      </c>
      <c r="L58" s="1236">
        <f>L46-'A3-FinPerf V'!K39</f>
        <v>0</v>
      </c>
    </row>
    <row r="59" spans="1:24" ht="11.25" customHeight="1" x14ac:dyDescent="0.25">
      <c r="A59" s="1235"/>
      <c r="B59" s="1189"/>
      <c r="C59" s="1236"/>
      <c r="D59" s="1236"/>
      <c r="E59" s="1236"/>
      <c r="F59" s="1236"/>
      <c r="G59" s="1236"/>
      <c r="H59" s="1236"/>
      <c r="I59" s="1236"/>
      <c r="J59" s="1236"/>
      <c r="K59" s="1236"/>
      <c r="L59" s="1236"/>
    </row>
    <row r="60" spans="1:24" ht="11.25" customHeight="1" x14ac:dyDescent="0.25">
      <c r="A60" s="1235" t="s">
        <v>8</v>
      </c>
      <c r="B60" s="1260"/>
      <c r="C60" s="1261">
        <f t="shared" ref="C60:L60" si="12">C22+SUM(C39:C41)</f>
        <v>381529743</v>
      </c>
      <c r="D60" s="1261">
        <f t="shared" si="12"/>
        <v>510801536</v>
      </c>
      <c r="E60" s="1261">
        <f t="shared" si="12"/>
        <v>501824726.47000003</v>
      </c>
      <c r="F60" s="1261">
        <f t="shared" si="12"/>
        <v>473760122.98799998</v>
      </c>
      <c r="G60" s="1261">
        <f t="shared" si="12"/>
        <v>501570707.58799994</v>
      </c>
      <c r="H60" s="1261">
        <f t="shared" si="12"/>
        <v>501570707.58799994</v>
      </c>
      <c r="I60" s="1261">
        <f t="shared" si="12"/>
        <v>271826774</v>
      </c>
      <c r="J60" s="1261">
        <f t="shared" si="12"/>
        <v>609076076.78999996</v>
      </c>
      <c r="K60" s="1261">
        <f t="shared" si="12"/>
        <v>645011565.32061005</v>
      </c>
      <c r="L60" s="1261">
        <f t="shared" si="12"/>
        <v>681132212.97856414</v>
      </c>
      <c r="M60" s="310"/>
    </row>
    <row r="61" spans="1:24" ht="11.25" customHeight="1" x14ac:dyDescent="0.25">
      <c r="A61" s="246"/>
      <c r="B61" s="246"/>
      <c r="C61" s="241"/>
      <c r="D61" s="241"/>
      <c r="E61" s="246"/>
      <c r="F61" s="246"/>
      <c r="G61" s="241"/>
      <c r="M61" s="310"/>
    </row>
    <row r="62" spans="1:24" ht="11.25" customHeight="1" x14ac:dyDescent="0.25">
      <c r="A62" s="246"/>
      <c r="B62" s="246"/>
      <c r="C62" s="241"/>
      <c r="D62" s="241"/>
      <c r="E62" s="246"/>
      <c r="F62" s="246"/>
      <c r="G62" s="241"/>
    </row>
    <row r="63" spans="1:24" ht="11.25" customHeight="1" x14ac:dyDescent="0.25">
      <c r="A63" s="246"/>
      <c r="B63" s="246"/>
      <c r="C63" s="241"/>
      <c r="D63" s="241"/>
      <c r="E63" s="246"/>
      <c r="F63" s="246"/>
      <c r="G63" s="241"/>
    </row>
    <row r="64" spans="1:24" ht="11.25" customHeight="1" x14ac:dyDescent="0.25">
      <c r="A64" s="246"/>
      <c r="B64" s="246"/>
      <c r="C64" s="246"/>
      <c r="D64" s="309"/>
      <c r="E64" s="246"/>
      <c r="F64" s="246"/>
      <c r="G64" s="246"/>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ht="11.25" customHeight="1" x14ac:dyDescent="0.25">
      <c r="B78" s="149"/>
    </row>
    <row r="79" spans="2:2" ht="11.25" customHeight="1" x14ac:dyDescent="0.25">
      <c r="B79" s="149"/>
    </row>
    <row r="80" spans="2:2" ht="11.25" customHeight="1" x14ac:dyDescent="0.25">
      <c r="B80" s="149"/>
    </row>
    <row r="81" spans="2:2" ht="11.25" customHeight="1" x14ac:dyDescent="0.25">
      <c r="B81" s="149"/>
    </row>
    <row r="82" spans="2:2" ht="11.25" customHeight="1" x14ac:dyDescent="0.25">
      <c r="B82" s="149"/>
    </row>
    <row r="83" spans="2:2" ht="11.25" customHeight="1" x14ac:dyDescent="0.25">
      <c r="B83" s="149"/>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customSheetViews>
    <customSheetView guid="{F50C5479-5CC4-4FD7-8319-543D29E829F0}" showGridLines="0" fitToPage="1" hiddenColumns="1">
      <pane xSplit="2" ySplit="3" topLeftCell="C29" activePane="bottomRight" state="frozen"/>
      <selection pane="bottomRight" activeCell="E60" sqref="E60"/>
      <pageMargins left="0.37" right="0.2" top="0.6" bottom="0.5" header="0.511811023622047" footer="0.39370078740157499"/>
      <printOptions horizontalCentered="1"/>
      <pageSetup paperSize="9" scale="79" orientation="portrait" r:id="rId1"/>
      <headerFooter alignWithMargins="0"/>
    </customSheetView>
  </customSheetViews>
  <mergeCells count="3">
    <mergeCell ref="M2:X2"/>
    <mergeCell ref="J2:L2"/>
    <mergeCell ref="F2:I2"/>
  </mergeCells>
  <phoneticPr fontId="2" type="noConversion"/>
  <printOptions horizontalCentered="1"/>
  <pageMargins left="0.35433070866141736" right="0.19685039370078741" top="0.59055118110236227" bottom="0.51181102362204722" header="0.51181102362204722" footer="0.39370078740157483"/>
  <pageSetup paperSize="9" scale="80"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A1:R120"/>
  <sheetViews>
    <sheetView showGridLines="0" zoomScaleNormal="100" workbookViewId="0">
      <pane xSplit="2" ySplit="3" topLeftCell="C62" activePane="bottomRight" state="frozen"/>
      <selection pane="topRight"/>
      <selection pane="bottomLeft"/>
      <selection pane="bottomRight" activeCell="E66" sqref="E66"/>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11.7109375" style="149" bestFit="1"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3" s="179" customFormat="1" x14ac:dyDescent="0.2">
      <c r="A1" s="147" t="str">
        <f>muni&amp;" - "&amp;Approve5</f>
        <v>MP315 Thembisile Hani - Table A5 Budgeted Capital Expenditure by vote, standard classification and funding</v>
      </c>
      <c r="B1" s="147"/>
      <c r="C1" s="147"/>
      <c r="D1" s="147"/>
      <c r="E1" s="147"/>
      <c r="F1" s="147"/>
      <c r="G1" s="147"/>
      <c r="H1" s="147"/>
      <c r="I1" s="147"/>
      <c r="J1" s="147"/>
      <c r="K1" s="147"/>
      <c r="L1" s="147"/>
    </row>
    <row r="2" spans="1:13" ht="28.5" customHeight="1" x14ac:dyDescent="0.25">
      <c r="A2" s="970" t="str">
        <f>Vdesc</f>
        <v>Vote 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3" ht="25.5" x14ac:dyDescent="0.25">
      <c r="A3" s="180" t="s">
        <v>662</v>
      </c>
      <c r="B3" s="290">
        <v>1</v>
      </c>
      <c r="C3" s="389" t="str">
        <f>Head5</f>
        <v>Audited Outcome</v>
      </c>
      <c r="D3" s="389" t="str">
        <f>Head5</f>
        <v>Audited Outcome</v>
      </c>
      <c r="E3" s="390" t="str">
        <f>Head5</f>
        <v>Audited Outcome</v>
      </c>
      <c r="F3" s="299" t="str">
        <f>Head6</f>
        <v>Original Budget</v>
      </c>
      <c r="G3" s="389" t="str">
        <f>Head7</f>
        <v>Adjusted Budget</v>
      </c>
      <c r="H3" s="390" t="str">
        <f>Head8</f>
        <v>Full Year Forecast</v>
      </c>
      <c r="I3" s="388" t="str">
        <f>Head5b</f>
        <v>Pre-audit outcome</v>
      </c>
      <c r="J3" s="299" t="str">
        <f>Head9</f>
        <v>Budget Year 2015/16</v>
      </c>
      <c r="K3" s="389" t="str">
        <f>Head10</f>
        <v>Budget Year +1 2016/17</v>
      </c>
      <c r="L3" s="390" t="str">
        <f>Head11</f>
        <v>Budget Year +2 2017/18</v>
      </c>
    </row>
    <row r="4" spans="1:13" x14ac:dyDescent="0.25">
      <c r="A4" s="181" t="s">
        <v>514</v>
      </c>
      <c r="B4" s="291"/>
      <c r="C4" s="311"/>
      <c r="D4" s="311"/>
      <c r="E4" s="312"/>
      <c r="F4" s="313"/>
      <c r="G4" s="311"/>
      <c r="H4" s="314"/>
      <c r="I4" s="312"/>
      <c r="J4" s="313"/>
      <c r="K4" s="311"/>
      <c r="L4" s="314"/>
    </row>
    <row r="5" spans="1:13" ht="11.25" customHeight="1" x14ac:dyDescent="0.25">
      <c r="A5" s="181" t="s">
        <v>1028</v>
      </c>
      <c r="B5" s="293">
        <v>2</v>
      </c>
      <c r="C5" s="315"/>
      <c r="D5" s="315"/>
      <c r="E5" s="316"/>
      <c r="F5" s="317"/>
      <c r="G5" s="315"/>
      <c r="H5" s="318"/>
      <c r="I5" s="316"/>
      <c r="J5" s="317"/>
      <c r="K5" s="315"/>
      <c r="L5" s="318"/>
    </row>
    <row r="6" spans="1:13" ht="11.25" customHeight="1" x14ac:dyDescent="0.25">
      <c r="A6" s="190" t="str">
        <f>A5A!A6</f>
        <v>Vote 1 - 100 COUNCIL &amp; GENERAL</v>
      </c>
      <c r="B6" s="293"/>
      <c r="C6" s="192">
        <f>A5A!C6</f>
        <v>0</v>
      </c>
      <c r="D6" s="192">
        <f>A5A!D6</f>
        <v>0</v>
      </c>
      <c r="E6" s="193">
        <f>A5A!E6</f>
        <v>0</v>
      </c>
      <c r="F6" s="194">
        <f>A5A!F6</f>
        <v>0</v>
      </c>
      <c r="G6" s="192">
        <f>A5A!G6</f>
        <v>0</v>
      </c>
      <c r="H6" s="193">
        <f>A5A!H6</f>
        <v>0</v>
      </c>
      <c r="I6" s="934">
        <f>A5A!I6</f>
        <v>0</v>
      </c>
      <c r="J6" s="194">
        <f>A5A!J6</f>
        <v>0</v>
      </c>
      <c r="K6" s="192">
        <f>A5A!K6</f>
        <v>0</v>
      </c>
      <c r="L6" s="193">
        <f>A5A!L6</f>
        <v>0</v>
      </c>
      <c r="M6" s="319"/>
    </row>
    <row r="7" spans="1:13" ht="11.25" customHeight="1" x14ac:dyDescent="0.25">
      <c r="A7" s="190" t="str">
        <f>A5A!A17</f>
        <v>Vote 2 - 102 MUNICIPAL MANAGER</v>
      </c>
      <c r="B7" s="293"/>
      <c r="C7" s="192">
        <f>A5A!C17</f>
        <v>0</v>
      </c>
      <c r="D7" s="192">
        <f>A5A!D17</f>
        <v>0</v>
      </c>
      <c r="E7" s="193">
        <f>A5A!E17</f>
        <v>0</v>
      </c>
      <c r="F7" s="194">
        <f>A5A!F17</f>
        <v>0</v>
      </c>
      <c r="G7" s="192">
        <f>A5A!G17</f>
        <v>0</v>
      </c>
      <c r="H7" s="193">
        <f>A5A!H17</f>
        <v>0</v>
      </c>
      <c r="I7" s="191">
        <f>A5A!I17</f>
        <v>0</v>
      </c>
      <c r="J7" s="194">
        <f>A5A!J17</f>
        <v>0</v>
      </c>
      <c r="K7" s="192">
        <f>A5A!K17</f>
        <v>0</v>
      </c>
      <c r="L7" s="193">
        <f>A5A!L17</f>
        <v>0</v>
      </c>
      <c r="M7" s="321"/>
    </row>
    <row r="8" spans="1:13" ht="11.25" customHeight="1" x14ac:dyDescent="0.25">
      <c r="A8" s="190" t="str">
        <f>A5A!A28</f>
        <v>Vote 3 - 103 PLANNING and DEVELOPMENT</v>
      </c>
      <c r="B8" s="293"/>
      <c r="C8" s="192">
        <f>A5A!C28</f>
        <v>0</v>
      </c>
      <c r="D8" s="192">
        <f>A5A!D28</f>
        <v>0</v>
      </c>
      <c r="E8" s="193">
        <f>A5A!E28</f>
        <v>0</v>
      </c>
      <c r="F8" s="194">
        <f>A5A!F28</f>
        <v>0</v>
      </c>
      <c r="G8" s="192">
        <f>A5A!G28</f>
        <v>0</v>
      </c>
      <c r="H8" s="193">
        <f>A5A!H28</f>
        <v>0</v>
      </c>
      <c r="I8" s="191">
        <f>A5A!I28</f>
        <v>0</v>
      </c>
      <c r="J8" s="194">
        <f>A5A!J28</f>
        <v>0</v>
      </c>
      <c r="K8" s="192">
        <f>A5A!K28</f>
        <v>0</v>
      </c>
      <c r="L8" s="193">
        <f>A5A!L28</f>
        <v>0</v>
      </c>
      <c r="M8" s="320"/>
    </row>
    <row r="9" spans="1:13" ht="11.25" customHeight="1" x14ac:dyDescent="0.25">
      <c r="A9" s="190" t="str">
        <f>A5A!A39</f>
        <v>Vote 4 - 104 FINANCE</v>
      </c>
      <c r="B9" s="293"/>
      <c r="C9" s="192">
        <f>A5A!C39</f>
        <v>0</v>
      </c>
      <c r="D9" s="192">
        <f>A5A!D39</f>
        <v>0</v>
      </c>
      <c r="E9" s="193">
        <f>A5A!E39</f>
        <v>0</v>
      </c>
      <c r="F9" s="322">
        <f>A5A!F39</f>
        <v>0</v>
      </c>
      <c r="G9" s="192">
        <f>A5A!G39</f>
        <v>0</v>
      </c>
      <c r="H9" s="193">
        <f>A5A!H39</f>
        <v>0</v>
      </c>
      <c r="I9" s="191">
        <f>A5A!I39</f>
        <v>0</v>
      </c>
      <c r="J9" s="194">
        <f>A5A!J39</f>
        <v>0</v>
      </c>
      <c r="K9" s="192">
        <f>A5A!K39</f>
        <v>0</v>
      </c>
      <c r="L9" s="323">
        <f>A5A!L39</f>
        <v>0</v>
      </c>
      <c r="M9" s="320"/>
    </row>
    <row r="10" spans="1:13" ht="11.25" customHeight="1" x14ac:dyDescent="0.25">
      <c r="A10" s="190" t="str">
        <f>A5A!A50</f>
        <v>Vote 5 - 105 TECHNICAL SERVICES</v>
      </c>
      <c r="B10" s="293"/>
      <c r="C10" s="192">
        <f>A5A!C50</f>
        <v>0</v>
      </c>
      <c r="D10" s="192">
        <f>A5A!D50</f>
        <v>0</v>
      </c>
      <c r="E10" s="193">
        <f>A5A!E50</f>
        <v>0</v>
      </c>
      <c r="F10" s="194">
        <f>A5A!F50</f>
        <v>0</v>
      </c>
      <c r="G10" s="192">
        <f>A5A!G50</f>
        <v>0</v>
      </c>
      <c r="H10" s="193">
        <f>A5A!H50</f>
        <v>0</v>
      </c>
      <c r="I10" s="191">
        <f>A5A!I50</f>
        <v>0</v>
      </c>
      <c r="J10" s="194">
        <f>A5A!J50</f>
        <v>0</v>
      </c>
      <c r="K10" s="192">
        <f>A5A!K50</f>
        <v>0</v>
      </c>
      <c r="L10" s="193">
        <f>A5A!L50</f>
        <v>0</v>
      </c>
      <c r="M10" s="320"/>
    </row>
    <row r="11" spans="1:13" ht="11.25" customHeight="1" x14ac:dyDescent="0.25">
      <c r="A11" s="190" t="str">
        <f>A5A!A61</f>
        <v>Vote 6 - 500 PMU</v>
      </c>
      <c r="B11" s="293"/>
      <c r="C11" s="192">
        <f>A5A!C61</f>
        <v>0</v>
      </c>
      <c r="D11" s="192">
        <f>A5A!D61</f>
        <v>0</v>
      </c>
      <c r="E11" s="193">
        <f>A5A!E61</f>
        <v>0</v>
      </c>
      <c r="F11" s="194">
        <f>A5A!F61</f>
        <v>0</v>
      </c>
      <c r="G11" s="192">
        <f>A5A!G61</f>
        <v>0</v>
      </c>
      <c r="H11" s="193">
        <f>A5A!H61</f>
        <v>0</v>
      </c>
      <c r="I11" s="191">
        <f>A5A!I61</f>
        <v>0</v>
      </c>
      <c r="J11" s="194">
        <f>A5A!J61</f>
        <v>0</v>
      </c>
      <c r="K11" s="192">
        <f>A5A!K61</f>
        <v>0</v>
      </c>
      <c r="L11" s="193">
        <f>A5A!L61</f>
        <v>0</v>
      </c>
      <c r="M11" s="320"/>
    </row>
    <row r="12" spans="1:13" ht="11.25" customHeight="1" x14ac:dyDescent="0.25">
      <c r="A12" s="190" t="str">
        <f>A5A!A72</f>
        <v>Vote 7 - 520 WASTE MANAGEMENT</v>
      </c>
      <c r="B12" s="293"/>
      <c r="C12" s="192">
        <f>A5A!C72</f>
        <v>0</v>
      </c>
      <c r="D12" s="192">
        <f>A5A!D72</f>
        <v>0</v>
      </c>
      <c r="E12" s="193">
        <f>A5A!E72</f>
        <v>0</v>
      </c>
      <c r="F12" s="194">
        <f>A5A!F72</f>
        <v>0</v>
      </c>
      <c r="G12" s="192">
        <f>A5A!G72</f>
        <v>0</v>
      </c>
      <c r="H12" s="193">
        <f>A5A!H72</f>
        <v>0</v>
      </c>
      <c r="I12" s="191">
        <f>A5A!I72</f>
        <v>0</v>
      </c>
      <c r="J12" s="194">
        <f>A5A!J72</f>
        <v>0</v>
      </c>
      <c r="K12" s="192">
        <f>A5A!K72</f>
        <v>0</v>
      </c>
      <c r="L12" s="193">
        <f>A5A!L72</f>
        <v>0</v>
      </c>
      <c r="M12" s="320"/>
    </row>
    <row r="13" spans="1:13" ht="11.25" customHeight="1" x14ac:dyDescent="0.25">
      <c r="A13" s="190" t="str">
        <f>A5A!A83</f>
        <v>Vote 8 - 530 ELECTRICITY SERVICES</v>
      </c>
      <c r="B13" s="293"/>
      <c r="C13" s="192">
        <f>A5A!C83</f>
        <v>0</v>
      </c>
      <c r="D13" s="192">
        <f>A5A!D83</f>
        <v>0</v>
      </c>
      <c r="E13" s="191">
        <f>A5A!E83</f>
        <v>0</v>
      </c>
      <c r="F13" s="194">
        <f>A5A!F83</f>
        <v>0</v>
      </c>
      <c r="G13" s="192">
        <f>A5A!G83</f>
        <v>0</v>
      </c>
      <c r="H13" s="193">
        <f>A5A!H83</f>
        <v>0</v>
      </c>
      <c r="I13" s="191">
        <f>A5A!I83</f>
        <v>0</v>
      </c>
      <c r="J13" s="194">
        <f>A5A!J83</f>
        <v>0</v>
      </c>
      <c r="K13" s="192">
        <f>A5A!K83</f>
        <v>0</v>
      </c>
      <c r="L13" s="193">
        <f>A5A!L83</f>
        <v>0</v>
      </c>
      <c r="M13" s="320"/>
    </row>
    <row r="14" spans="1:13" ht="11.25" customHeight="1" x14ac:dyDescent="0.25">
      <c r="A14" s="190" t="str">
        <f>A5A!A94</f>
        <v>Vote 9 - 540 WATER SERVICES</v>
      </c>
      <c r="B14" s="293"/>
      <c r="C14" s="192">
        <f>A5A!C94</f>
        <v>0</v>
      </c>
      <c r="D14" s="192">
        <f>A5A!D94</f>
        <v>0</v>
      </c>
      <c r="E14" s="191">
        <f>A5A!E94</f>
        <v>0</v>
      </c>
      <c r="F14" s="194">
        <f>A5A!F94</f>
        <v>0</v>
      </c>
      <c r="G14" s="192">
        <f>A5A!G94</f>
        <v>0</v>
      </c>
      <c r="H14" s="193">
        <f>A5A!H94</f>
        <v>0</v>
      </c>
      <c r="I14" s="191">
        <f>A5A!I94</f>
        <v>0</v>
      </c>
      <c r="J14" s="194">
        <f>A5A!J94</f>
        <v>0</v>
      </c>
      <c r="K14" s="192">
        <f>A5A!K94</f>
        <v>0</v>
      </c>
      <c r="L14" s="193">
        <f>A5A!L94</f>
        <v>0</v>
      </c>
      <c r="M14" s="1546"/>
    </row>
    <row r="15" spans="1:13" ht="11.25" customHeight="1" x14ac:dyDescent="0.25">
      <c r="A15" s="190" t="str">
        <f>A5A!A105</f>
        <v>Vote 10 - 550 ROADS &amp; STORMWATER</v>
      </c>
      <c r="B15" s="293"/>
      <c r="C15" s="192">
        <f>A5A!C105</f>
        <v>0</v>
      </c>
      <c r="D15" s="192">
        <f>A5A!D105</f>
        <v>0</v>
      </c>
      <c r="E15" s="191">
        <f>A5A!E105</f>
        <v>0</v>
      </c>
      <c r="F15" s="194">
        <f>A5A!F105</f>
        <v>0</v>
      </c>
      <c r="G15" s="192">
        <f>A5A!G105</f>
        <v>0</v>
      </c>
      <c r="H15" s="193">
        <f>A5A!H105</f>
        <v>0</v>
      </c>
      <c r="I15" s="191">
        <f>A5A!I105</f>
        <v>0</v>
      </c>
      <c r="J15" s="194">
        <f>A5A!J105</f>
        <v>0</v>
      </c>
      <c r="K15" s="192">
        <f>A5A!K105</f>
        <v>0</v>
      </c>
      <c r="L15" s="193">
        <f>A5A!L105</f>
        <v>0</v>
      </c>
      <c r="M15" s="1546"/>
    </row>
    <row r="16" spans="1:13" ht="11.25" customHeight="1" x14ac:dyDescent="0.25">
      <c r="A16" s="190" t="str">
        <f>A5A!A116</f>
        <v>Vote 11 - 560 SANITATION SERVICES</v>
      </c>
      <c r="B16" s="293"/>
      <c r="C16" s="192">
        <f>A5A!C116</f>
        <v>0</v>
      </c>
      <c r="D16" s="192">
        <f>A5A!D116</f>
        <v>0</v>
      </c>
      <c r="E16" s="191">
        <f>A5A!E116</f>
        <v>0</v>
      </c>
      <c r="F16" s="194">
        <f>A5A!F116</f>
        <v>0</v>
      </c>
      <c r="G16" s="192">
        <f>A5A!G116</f>
        <v>0</v>
      </c>
      <c r="H16" s="193">
        <f>A5A!H116</f>
        <v>0</v>
      </c>
      <c r="I16" s="191">
        <f>A5A!I116</f>
        <v>0</v>
      </c>
      <c r="J16" s="194">
        <f>A5A!J116</f>
        <v>0</v>
      </c>
      <c r="K16" s="192">
        <f>A5A!K116</f>
        <v>0</v>
      </c>
      <c r="L16" s="193">
        <f>A5A!L116</f>
        <v>0</v>
      </c>
      <c r="M16" s="369"/>
    </row>
    <row r="17" spans="1:13" ht="11.25" customHeight="1" x14ac:dyDescent="0.25">
      <c r="A17" s="190" t="str">
        <f>A5A!A127</f>
        <v>Vote 12 - 106 CORPORATE SERVICES</v>
      </c>
      <c r="B17" s="293"/>
      <c r="C17" s="192">
        <f>A5A!C127</f>
        <v>0</v>
      </c>
      <c r="D17" s="192">
        <f>A5A!D127</f>
        <v>0</v>
      </c>
      <c r="E17" s="191">
        <f>A5A!E127</f>
        <v>0</v>
      </c>
      <c r="F17" s="194">
        <f>A5A!F127</f>
        <v>0</v>
      </c>
      <c r="G17" s="192">
        <f>A5A!G127</f>
        <v>0</v>
      </c>
      <c r="H17" s="193">
        <f>A5A!H127</f>
        <v>0</v>
      </c>
      <c r="I17" s="191">
        <f>A5A!I127</f>
        <v>0</v>
      </c>
      <c r="J17" s="194">
        <f>A5A!J127</f>
        <v>0</v>
      </c>
      <c r="K17" s="192">
        <f>A5A!K127</f>
        <v>0</v>
      </c>
      <c r="L17" s="193">
        <f>A5A!L127</f>
        <v>0</v>
      </c>
      <c r="M17" s="1546"/>
    </row>
    <row r="18" spans="1:13" ht="11.25" customHeight="1" x14ac:dyDescent="0.25">
      <c r="A18" s="190" t="str">
        <f>A5A!A138</f>
        <v>Vote 13 - 107 COMMUNITY SERVICES</v>
      </c>
      <c r="B18" s="293"/>
      <c r="C18" s="192">
        <f>A5A!C138</f>
        <v>0</v>
      </c>
      <c r="D18" s="192">
        <f>A5A!D138</f>
        <v>0</v>
      </c>
      <c r="E18" s="191">
        <f>A5A!E138</f>
        <v>0</v>
      </c>
      <c r="F18" s="194">
        <f>A5A!F138</f>
        <v>0</v>
      </c>
      <c r="G18" s="192">
        <f>A5A!G138</f>
        <v>0</v>
      </c>
      <c r="H18" s="193">
        <f>A5A!H138</f>
        <v>0</v>
      </c>
      <c r="I18" s="191">
        <f>A5A!I138</f>
        <v>0</v>
      </c>
      <c r="J18" s="194">
        <f>A5A!J138</f>
        <v>0</v>
      </c>
      <c r="K18" s="192">
        <f>A5A!K138</f>
        <v>0</v>
      </c>
      <c r="L18" s="193">
        <f>A5A!L138</f>
        <v>0</v>
      </c>
      <c r="M18" s="1546"/>
    </row>
    <row r="19" spans="1:13" ht="11.25" customHeight="1" x14ac:dyDescent="0.25">
      <c r="A19" s="190" t="str">
        <f>A5A!A149</f>
        <v>Vote 14 - 108 PUBLIC SAFETY &amp; ROADS</v>
      </c>
      <c r="B19" s="293"/>
      <c r="C19" s="192">
        <f>A5A!C149</f>
        <v>0</v>
      </c>
      <c r="D19" s="192">
        <f>A5A!D149</f>
        <v>0</v>
      </c>
      <c r="E19" s="191">
        <f>A5A!E149</f>
        <v>0</v>
      </c>
      <c r="F19" s="194">
        <f>A5A!F149</f>
        <v>0</v>
      </c>
      <c r="G19" s="192">
        <f>A5A!G149</f>
        <v>0</v>
      </c>
      <c r="H19" s="193">
        <f>A5A!H149</f>
        <v>0</v>
      </c>
      <c r="I19" s="191">
        <f>A5A!I149</f>
        <v>0</v>
      </c>
      <c r="J19" s="194">
        <f>A5A!J149</f>
        <v>0</v>
      </c>
      <c r="K19" s="192">
        <f>A5A!K149</f>
        <v>0</v>
      </c>
      <c r="L19" s="193">
        <f>A5A!L149</f>
        <v>0</v>
      </c>
      <c r="M19" s="1546"/>
    </row>
    <row r="20" spans="1:13" ht="11.25" customHeight="1" x14ac:dyDescent="0.25">
      <c r="A20" s="190" t="str">
        <f>A5A!A160</f>
        <v>Vote 15 - 300 SPORTS,RECREATION ARTS,CULTURE AND PROPERTY SERVICES</v>
      </c>
      <c r="B20" s="293"/>
      <c r="C20" s="192">
        <f>A5A!C160</f>
        <v>0</v>
      </c>
      <c r="D20" s="192">
        <f>A5A!D160</f>
        <v>0</v>
      </c>
      <c r="E20" s="191">
        <f>A5A!E160</f>
        <v>0</v>
      </c>
      <c r="F20" s="194">
        <f>A5A!F160</f>
        <v>0</v>
      </c>
      <c r="G20" s="192">
        <f>A5A!G160</f>
        <v>0</v>
      </c>
      <c r="H20" s="193">
        <f>A5A!H160</f>
        <v>0</v>
      </c>
      <c r="I20" s="191">
        <f>A5A!I160</f>
        <v>0</v>
      </c>
      <c r="J20" s="194">
        <f>A5A!J160</f>
        <v>0</v>
      </c>
      <c r="K20" s="192">
        <f>A5A!K160</f>
        <v>0</v>
      </c>
      <c r="L20" s="193">
        <f>A5A!L160</f>
        <v>0</v>
      </c>
      <c r="M20" s="1546"/>
    </row>
    <row r="21" spans="1:13" x14ac:dyDescent="0.25">
      <c r="A21" s="197" t="s">
        <v>196</v>
      </c>
      <c r="B21" s="293">
        <v>7</v>
      </c>
      <c r="C21" s="1348">
        <f>SUM(C6:C20)</f>
        <v>0</v>
      </c>
      <c r="D21" s="1348">
        <f t="shared" ref="D21:L21" si="0">SUM(D6:D20)</f>
        <v>0</v>
      </c>
      <c r="E21" s="266">
        <f t="shared" si="0"/>
        <v>0</v>
      </c>
      <c r="F21" s="269">
        <f t="shared" si="0"/>
        <v>0</v>
      </c>
      <c r="G21" s="267">
        <f t="shared" si="0"/>
        <v>0</v>
      </c>
      <c r="H21" s="268">
        <f>SUM(H6:H20)</f>
        <v>0</v>
      </c>
      <c r="I21" s="266">
        <f t="shared" si="0"/>
        <v>0</v>
      </c>
      <c r="J21" s="269">
        <f t="shared" si="0"/>
        <v>0</v>
      </c>
      <c r="K21" s="267">
        <f t="shared" si="0"/>
        <v>0</v>
      </c>
      <c r="L21" s="268">
        <f t="shared" si="0"/>
        <v>0</v>
      </c>
      <c r="M21" s="369"/>
    </row>
    <row r="22" spans="1:13" ht="5.0999999999999996" customHeight="1" x14ac:dyDescent="0.25">
      <c r="A22" s="201"/>
      <c r="B22" s="293"/>
      <c r="C22" s="203"/>
      <c r="D22" s="259"/>
      <c r="E22" s="202"/>
      <c r="F22" s="205"/>
      <c r="G22" s="203"/>
      <c r="H22" s="204"/>
      <c r="I22" s="202"/>
      <c r="J22" s="205"/>
      <c r="K22" s="203"/>
      <c r="L22" s="204"/>
      <c r="M22" s="369"/>
    </row>
    <row r="23" spans="1:13" ht="11.25" customHeight="1" x14ac:dyDescent="0.25">
      <c r="A23" s="181" t="s">
        <v>1029</v>
      </c>
      <c r="B23" s="293">
        <v>2</v>
      </c>
      <c r="C23" s="324"/>
      <c r="D23" s="324"/>
      <c r="E23" s="193"/>
      <c r="F23" s="194"/>
      <c r="G23" s="192"/>
      <c r="H23" s="193"/>
      <c r="I23" s="191"/>
      <c r="J23" s="194"/>
      <c r="K23" s="192"/>
      <c r="L23" s="193"/>
      <c r="M23" s="369"/>
    </row>
    <row r="24" spans="1:13" ht="11.25" customHeight="1" x14ac:dyDescent="0.25">
      <c r="A24" s="190" t="str">
        <f>A6</f>
        <v>Vote 1 - 100 COUNCIL &amp; GENERAL</v>
      </c>
      <c r="B24" s="293"/>
      <c r="C24" s="324">
        <f>A5A!C175</f>
        <v>44966000</v>
      </c>
      <c r="D24" s="324">
        <f>A5A!D175</f>
        <v>0</v>
      </c>
      <c r="E24" s="193">
        <f>A5A!E175</f>
        <v>0</v>
      </c>
      <c r="F24" s="194">
        <f>A5A!F175</f>
        <v>0</v>
      </c>
      <c r="G24" s="192">
        <f>A5A!G175</f>
        <v>0</v>
      </c>
      <c r="H24" s="193">
        <f>A5A!H175</f>
        <v>0</v>
      </c>
      <c r="I24" s="191">
        <f>A5A!I175</f>
        <v>0</v>
      </c>
      <c r="J24" s="194">
        <f>A5A!J175</f>
        <v>0</v>
      </c>
      <c r="K24" s="192">
        <f>A5A!K175</f>
        <v>0</v>
      </c>
      <c r="L24" s="193">
        <f>A5A!L175</f>
        <v>0</v>
      </c>
      <c r="M24" s="369"/>
    </row>
    <row r="25" spans="1:13" ht="11.25" customHeight="1" x14ac:dyDescent="0.25">
      <c r="A25" s="190" t="str">
        <f t="shared" ref="A25:A37" si="1">A7</f>
        <v>Vote 2 - 102 MUNICIPAL MANAGER</v>
      </c>
      <c r="B25" s="293"/>
      <c r="C25" s="324">
        <f>A5A!C186</f>
        <v>0</v>
      </c>
      <c r="D25" s="324">
        <f>A5A!D186</f>
        <v>0</v>
      </c>
      <c r="E25" s="193">
        <f>A5A!E186</f>
        <v>0</v>
      </c>
      <c r="F25" s="194">
        <f>A5A!F186</f>
        <v>0</v>
      </c>
      <c r="G25" s="192">
        <f>A5A!G186</f>
        <v>0</v>
      </c>
      <c r="H25" s="193">
        <f>A5A!H186</f>
        <v>0</v>
      </c>
      <c r="I25" s="191">
        <f>A5A!I186</f>
        <v>0</v>
      </c>
      <c r="J25" s="194">
        <f>A5A!J186</f>
        <v>0</v>
      </c>
      <c r="K25" s="192">
        <f>A5A!K186</f>
        <v>0</v>
      </c>
      <c r="L25" s="193">
        <f>A5A!L186</f>
        <v>0</v>
      </c>
      <c r="M25" s="369"/>
    </row>
    <row r="26" spans="1:13" ht="11.25" customHeight="1" x14ac:dyDescent="0.25">
      <c r="A26" s="190" t="str">
        <f t="shared" si="1"/>
        <v>Vote 3 - 103 PLANNING and DEVELOPMENT</v>
      </c>
      <c r="B26" s="293"/>
      <c r="C26" s="324">
        <f>A5A!C197</f>
        <v>0</v>
      </c>
      <c r="D26" s="324">
        <f>A5A!D197</f>
        <v>0</v>
      </c>
      <c r="E26" s="193">
        <f>A5A!E197</f>
        <v>0</v>
      </c>
      <c r="F26" s="194">
        <f>A5A!F197</f>
        <v>0</v>
      </c>
      <c r="G26" s="192">
        <f>A5A!G197</f>
        <v>0</v>
      </c>
      <c r="H26" s="193">
        <f>A5A!H197</f>
        <v>0</v>
      </c>
      <c r="I26" s="191">
        <f>A5A!I197</f>
        <v>0</v>
      </c>
      <c r="J26" s="194">
        <f>A5A!J197</f>
        <v>0</v>
      </c>
      <c r="K26" s="192">
        <f>A5A!K197</f>
        <v>0</v>
      </c>
      <c r="L26" s="193">
        <f>A5A!L197</f>
        <v>0</v>
      </c>
      <c r="M26" s="369"/>
    </row>
    <row r="27" spans="1:13" ht="11.25" customHeight="1" x14ac:dyDescent="0.25">
      <c r="A27" s="190" t="str">
        <f t="shared" si="1"/>
        <v>Vote 4 - 104 FINANCE</v>
      </c>
      <c r="B27" s="293"/>
      <c r="C27" s="324">
        <f>A5A!C208</f>
        <v>0</v>
      </c>
      <c r="D27" s="324">
        <f>A5A!D208</f>
        <v>234000</v>
      </c>
      <c r="E27" s="193">
        <f>A5A!E208</f>
        <v>0</v>
      </c>
      <c r="F27" s="194">
        <f>A5A!F208</f>
        <v>0</v>
      </c>
      <c r="G27" s="192">
        <f>A5A!G208</f>
        <v>0</v>
      </c>
      <c r="H27" s="193">
        <f>A5A!H208</f>
        <v>0</v>
      </c>
      <c r="I27" s="191">
        <f>A5A!I208</f>
        <v>0</v>
      </c>
      <c r="J27" s="194">
        <f>A5A!J208</f>
        <v>0</v>
      </c>
      <c r="K27" s="192">
        <f>A5A!K208</f>
        <v>0</v>
      </c>
      <c r="L27" s="193">
        <f>A5A!L208</f>
        <v>0</v>
      </c>
      <c r="M27" s="369"/>
    </row>
    <row r="28" spans="1:13" ht="11.25" customHeight="1" x14ac:dyDescent="0.25">
      <c r="A28" s="190" t="str">
        <f t="shared" si="1"/>
        <v>Vote 5 - 105 TECHNICAL SERVICES</v>
      </c>
      <c r="B28" s="293"/>
      <c r="C28" s="324">
        <f>A5A!C219</f>
        <v>0</v>
      </c>
      <c r="D28" s="324">
        <f>A5A!D219</f>
        <v>16257493.130000001</v>
      </c>
      <c r="E28" s="193">
        <f>A5A!E219</f>
        <v>112938793.00000001</v>
      </c>
      <c r="F28" s="194">
        <f>A5A!F219</f>
        <v>110819751.63</v>
      </c>
      <c r="G28" s="192">
        <f>A5A!G219</f>
        <v>111250502.91000003</v>
      </c>
      <c r="H28" s="193">
        <f>A5A!H219</f>
        <v>111250502.91000003</v>
      </c>
      <c r="I28" s="191">
        <f>A5A!I219</f>
        <v>17831558.759999998</v>
      </c>
      <c r="J28" s="194">
        <f>A5A!J219</f>
        <v>115149135</v>
      </c>
      <c r="K28" s="192">
        <f>A5A!K219</f>
        <v>121942933.96500003</v>
      </c>
      <c r="L28" s="193">
        <f>A5A!L219</f>
        <v>128771738.26704007</v>
      </c>
      <c r="M28" s="369"/>
    </row>
    <row r="29" spans="1:13" ht="11.25" customHeight="1" x14ac:dyDescent="0.25">
      <c r="A29" s="190" t="str">
        <f t="shared" si="1"/>
        <v>Vote 6 - 500 PMU</v>
      </c>
      <c r="B29" s="293"/>
      <c r="C29" s="324">
        <f>A5A!C329</f>
        <v>0</v>
      </c>
      <c r="D29" s="324">
        <f>A5A!D329</f>
        <v>0</v>
      </c>
      <c r="E29" s="193">
        <f>A5A!E329</f>
        <v>0</v>
      </c>
      <c r="F29" s="194">
        <f>A5A!F329</f>
        <v>0</v>
      </c>
      <c r="G29" s="192">
        <f>A5A!G329</f>
        <v>90000</v>
      </c>
      <c r="H29" s="193">
        <f>A5A!H329</f>
        <v>90000</v>
      </c>
      <c r="I29" s="191">
        <f>A5A!I329</f>
        <v>0</v>
      </c>
      <c r="J29" s="194">
        <f>A5A!J329</f>
        <v>90000</v>
      </c>
      <c r="K29" s="192">
        <f>A5A!K329</f>
        <v>95310</v>
      </c>
      <c r="L29" s="193">
        <f>A5A!L329</f>
        <v>100647.36</v>
      </c>
      <c r="M29" s="369"/>
    </row>
    <row r="30" spans="1:13" ht="11.25" customHeight="1" x14ac:dyDescent="0.25">
      <c r="A30" s="190" t="str">
        <f t="shared" si="1"/>
        <v>Vote 7 - 520 WASTE MANAGEMENT</v>
      </c>
      <c r="B30" s="293"/>
      <c r="C30" s="324">
        <f>A5A!C340</f>
        <v>0</v>
      </c>
      <c r="D30" s="324">
        <f>A5A!D340</f>
        <v>0</v>
      </c>
      <c r="E30" s="193">
        <f>A5A!E340</f>
        <v>0</v>
      </c>
      <c r="F30" s="194">
        <f>A5A!F340</f>
        <v>0</v>
      </c>
      <c r="G30" s="192">
        <f>A5A!G340</f>
        <v>0</v>
      </c>
      <c r="H30" s="193">
        <f>A5A!H340</f>
        <v>0</v>
      </c>
      <c r="I30" s="191">
        <f>A5A!I340</f>
        <v>0</v>
      </c>
      <c r="J30" s="194">
        <f>A5A!J340</f>
        <v>0</v>
      </c>
      <c r="K30" s="192">
        <f>A5A!K340</f>
        <v>0</v>
      </c>
      <c r="L30" s="193">
        <f>A5A!L340</f>
        <v>0</v>
      </c>
      <c r="M30" s="369"/>
    </row>
    <row r="31" spans="1:13" ht="11.25" customHeight="1" x14ac:dyDescent="0.25">
      <c r="A31" s="190" t="str">
        <f t="shared" si="1"/>
        <v>Vote 8 - 530 ELECTRICITY SERVICES</v>
      </c>
      <c r="B31" s="293"/>
      <c r="C31" s="324">
        <f>A5A!C351</f>
        <v>0</v>
      </c>
      <c r="D31" s="324">
        <f>A5A!D351</f>
        <v>0</v>
      </c>
      <c r="E31" s="193">
        <f>A5A!E351</f>
        <v>0</v>
      </c>
      <c r="F31" s="194">
        <f>A5A!F351</f>
        <v>0</v>
      </c>
      <c r="G31" s="192">
        <f>A5A!G351</f>
        <v>0</v>
      </c>
      <c r="H31" s="193">
        <f>A5A!H351</f>
        <v>0</v>
      </c>
      <c r="I31" s="191">
        <f>A5A!I351</f>
        <v>0</v>
      </c>
      <c r="J31" s="194">
        <f>A5A!J351</f>
        <v>1100000</v>
      </c>
      <c r="K31" s="192">
        <f>A5A!K351</f>
        <v>1164900</v>
      </c>
      <c r="L31" s="193">
        <f>A5A!L351</f>
        <v>1230134.4000000001</v>
      </c>
      <c r="M31" s="369"/>
    </row>
    <row r="32" spans="1:13" ht="11.25" customHeight="1" x14ac:dyDescent="0.25">
      <c r="A32" s="190" t="str">
        <f t="shared" si="1"/>
        <v>Vote 9 - 540 WATER SERVICES</v>
      </c>
      <c r="B32" s="293"/>
      <c r="C32" s="324">
        <f>A5A!C362</f>
        <v>0</v>
      </c>
      <c r="D32" s="324">
        <f>A5A!D362</f>
        <v>0</v>
      </c>
      <c r="E32" s="193">
        <f>A5A!E362</f>
        <v>0</v>
      </c>
      <c r="F32" s="194">
        <f>A5A!F362</f>
        <v>0</v>
      </c>
      <c r="G32" s="192">
        <f>A5A!G362</f>
        <v>0</v>
      </c>
      <c r="H32" s="193">
        <f>A5A!H362</f>
        <v>0</v>
      </c>
      <c r="I32" s="191">
        <f>A5A!I362</f>
        <v>0</v>
      </c>
      <c r="J32" s="194">
        <f>A5A!J362</f>
        <v>0</v>
      </c>
      <c r="K32" s="192">
        <f>A5A!K362</f>
        <v>0</v>
      </c>
      <c r="L32" s="193">
        <f>A5A!L362</f>
        <v>0</v>
      </c>
      <c r="M32" s="369"/>
    </row>
    <row r="33" spans="1:18" ht="11.25" customHeight="1" x14ac:dyDescent="0.25">
      <c r="A33" s="190" t="str">
        <f t="shared" si="1"/>
        <v>Vote 10 - 550 ROADS &amp; STORMWATER</v>
      </c>
      <c r="B33" s="293"/>
      <c r="C33" s="324">
        <f>A5A!C373</f>
        <v>0</v>
      </c>
      <c r="D33" s="324">
        <f>A5A!D373</f>
        <v>0</v>
      </c>
      <c r="E33" s="193">
        <f>A5A!E373</f>
        <v>0</v>
      </c>
      <c r="F33" s="194">
        <f>A5A!F373</f>
        <v>0</v>
      </c>
      <c r="G33" s="192">
        <f>A5A!G373</f>
        <v>0</v>
      </c>
      <c r="H33" s="193">
        <f>A5A!H373</f>
        <v>0</v>
      </c>
      <c r="I33" s="191">
        <f>A5A!I373</f>
        <v>0</v>
      </c>
      <c r="J33" s="194">
        <f>A5A!J373</f>
        <v>0</v>
      </c>
      <c r="K33" s="192">
        <f>A5A!K373</f>
        <v>0</v>
      </c>
      <c r="L33" s="193">
        <f>A5A!L373</f>
        <v>0</v>
      </c>
      <c r="M33" s="369"/>
    </row>
    <row r="34" spans="1:18" ht="11.25" customHeight="1" x14ac:dyDescent="0.25">
      <c r="A34" s="190" t="str">
        <f t="shared" si="1"/>
        <v>Vote 11 - 560 SANITATION SERVICES</v>
      </c>
      <c r="B34" s="293"/>
      <c r="C34" s="324">
        <f>A5A!C384</f>
        <v>0</v>
      </c>
      <c r="D34" s="324">
        <f>A5A!D384</f>
        <v>0</v>
      </c>
      <c r="E34" s="193">
        <f>A5A!E384</f>
        <v>0</v>
      </c>
      <c r="F34" s="194">
        <f>A5A!F384</f>
        <v>0</v>
      </c>
      <c r="G34" s="192">
        <f>A5A!G384</f>
        <v>0</v>
      </c>
      <c r="H34" s="193">
        <f>A5A!H384</f>
        <v>0</v>
      </c>
      <c r="I34" s="191">
        <f>A5A!I384</f>
        <v>0</v>
      </c>
      <c r="J34" s="194">
        <f>A5A!J384</f>
        <v>0</v>
      </c>
      <c r="K34" s="192">
        <f>A5A!K384</f>
        <v>0</v>
      </c>
      <c r="L34" s="193">
        <f>A5A!L384</f>
        <v>0</v>
      </c>
      <c r="M34" s="369"/>
    </row>
    <row r="35" spans="1:18" ht="11.25" customHeight="1" x14ac:dyDescent="0.25">
      <c r="A35" s="190" t="str">
        <f t="shared" si="1"/>
        <v>Vote 12 - 106 CORPORATE SERVICES</v>
      </c>
      <c r="B35" s="293"/>
      <c r="C35" s="324">
        <f>A5A!C395</f>
        <v>0</v>
      </c>
      <c r="D35" s="324">
        <f>A5A!D395</f>
        <v>63950.899999999994</v>
      </c>
      <c r="E35" s="193">
        <f>A5A!E395</f>
        <v>711498</v>
      </c>
      <c r="F35" s="194">
        <f>A5A!F395</f>
        <v>0</v>
      </c>
      <c r="G35" s="192">
        <f>A5A!G395</f>
        <v>0</v>
      </c>
      <c r="H35" s="193">
        <f>A5A!H395</f>
        <v>0</v>
      </c>
      <c r="I35" s="191">
        <f>A5A!I395</f>
        <v>0</v>
      </c>
      <c r="J35" s="194">
        <f>A5A!J395</f>
        <v>0</v>
      </c>
      <c r="K35" s="192">
        <f>A5A!K395</f>
        <v>0</v>
      </c>
      <c r="L35" s="193">
        <f>A5A!L395</f>
        <v>0</v>
      </c>
      <c r="M35" s="369"/>
    </row>
    <row r="36" spans="1:18" ht="11.25" customHeight="1" x14ac:dyDescent="0.25">
      <c r="A36" s="190" t="str">
        <f t="shared" si="1"/>
        <v>Vote 13 - 107 COMMUNITY SERVICES</v>
      </c>
      <c r="B36" s="293"/>
      <c r="C36" s="1507">
        <f>A5A!C404</f>
        <v>0</v>
      </c>
      <c r="D36" s="1507">
        <f>A5A!D404</f>
        <v>0</v>
      </c>
      <c r="E36" s="1508">
        <f>A5A!E404</f>
        <v>0</v>
      </c>
      <c r="F36" s="1509">
        <f>A5A!F404</f>
        <v>0</v>
      </c>
      <c r="G36" s="1467">
        <f>A5A!G404</f>
        <v>0</v>
      </c>
      <c r="H36" s="1508">
        <f>A5A!H404</f>
        <v>0</v>
      </c>
      <c r="I36" s="1468">
        <f>A5A!I404</f>
        <v>0</v>
      </c>
      <c r="J36" s="1509">
        <f>A5A!J404</f>
        <v>0</v>
      </c>
      <c r="K36" s="1467">
        <f>A5A!K404</f>
        <v>0</v>
      </c>
      <c r="L36" s="1508">
        <f>A5A!L404</f>
        <v>0</v>
      </c>
      <c r="M36" s="369"/>
    </row>
    <row r="37" spans="1:18" ht="11.25" customHeight="1" x14ac:dyDescent="0.25">
      <c r="A37" s="190" t="str">
        <f t="shared" si="1"/>
        <v>Vote 14 - 108 PUBLIC SAFETY &amp; ROADS</v>
      </c>
      <c r="B37" s="293"/>
      <c r="C37" s="1507">
        <f>A5A!C415</f>
        <v>0</v>
      </c>
      <c r="D37" s="1507">
        <f>A5A!D415</f>
        <v>213590</v>
      </c>
      <c r="E37" s="1508">
        <f>A5A!E415</f>
        <v>0</v>
      </c>
      <c r="F37" s="1509">
        <f>A5A!F415</f>
        <v>0</v>
      </c>
      <c r="G37" s="1467">
        <f>A5A!G415</f>
        <v>0</v>
      </c>
      <c r="H37" s="1508">
        <f>A5A!H415</f>
        <v>0</v>
      </c>
      <c r="I37" s="1468">
        <f>A5A!I415</f>
        <v>0</v>
      </c>
      <c r="J37" s="1509">
        <f>A5A!J415</f>
        <v>0</v>
      </c>
      <c r="K37" s="1467">
        <f>A5A!K415</f>
        <v>0</v>
      </c>
      <c r="L37" s="1508">
        <f>A5A!L415</f>
        <v>0</v>
      </c>
      <c r="M37" s="369"/>
    </row>
    <row r="38" spans="1:18" ht="11.25" customHeight="1" x14ac:dyDescent="0.25">
      <c r="A38" s="190" t="str">
        <f>A20</f>
        <v>Vote 15 - 300 SPORTS,RECREATION ARTS,CULTURE AND PROPERTY SERVICES</v>
      </c>
      <c r="B38" s="293"/>
      <c r="C38" s="1507">
        <f>A5A!C426</f>
        <v>0</v>
      </c>
      <c r="D38" s="1507">
        <f>A5A!D426</f>
        <v>0</v>
      </c>
      <c r="E38" s="1508">
        <f>A5A!E426</f>
        <v>0</v>
      </c>
      <c r="F38" s="1509">
        <f>A5A!F426</f>
        <v>0</v>
      </c>
      <c r="G38" s="1467">
        <f>A5A!G426</f>
        <v>0</v>
      </c>
      <c r="H38" s="1508">
        <f>A5A!H426</f>
        <v>0</v>
      </c>
      <c r="I38" s="1468">
        <f>A5A!I426</f>
        <v>0</v>
      </c>
      <c r="J38" s="1509">
        <f>A5A!J426</f>
        <v>0</v>
      </c>
      <c r="K38" s="1467">
        <f>A5A!K426</f>
        <v>0</v>
      </c>
      <c r="L38" s="1508">
        <f>A5A!L426</f>
        <v>0</v>
      </c>
      <c r="M38" s="369"/>
    </row>
    <row r="39" spans="1:18" ht="11.25" customHeight="1" x14ac:dyDescent="0.25">
      <c r="A39" s="326" t="s">
        <v>1317</v>
      </c>
      <c r="B39" s="293"/>
      <c r="C39" s="1345">
        <f>SUM(C24:C38)</f>
        <v>44966000</v>
      </c>
      <c r="D39" s="1345">
        <f t="shared" ref="D39:L39" si="2">SUM(D24:D38)</f>
        <v>16769034.030000001</v>
      </c>
      <c r="E39" s="1346">
        <f t="shared" si="2"/>
        <v>113650291.00000001</v>
      </c>
      <c r="F39" s="1347">
        <f t="shared" si="2"/>
        <v>110819751.63</v>
      </c>
      <c r="G39" s="1348">
        <f t="shared" si="2"/>
        <v>111340502.91000003</v>
      </c>
      <c r="H39" s="1346">
        <f t="shared" si="2"/>
        <v>111340502.91000003</v>
      </c>
      <c r="I39" s="1349">
        <f t="shared" si="2"/>
        <v>17831558.759999998</v>
      </c>
      <c r="J39" s="1347">
        <f t="shared" si="2"/>
        <v>116339135</v>
      </c>
      <c r="K39" s="1348">
        <f t="shared" si="2"/>
        <v>123203143.96500003</v>
      </c>
      <c r="L39" s="1346">
        <f t="shared" si="2"/>
        <v>130102520.02704008</v>
      </c>
      <c r="M39" s="369"/>
    </row>
    <row r="40" spans="1:18" x14ac:dyDescent="0.25">
      <c r="A40" s="224" t="s">
        <v>1030</v>
      </c>
      <c r="B40" s="306"/>
      <c r="C40" s="327">
        <f>C39+C21</f>
        <v>44966000</v>
      </c>
      <c r="D40" s="327">
        <f t="shared" ref="D40:L40" si="3">D39+D21</f>
        <v>16769034.030000001</v>
      </c>
      <c r="E40" s="328">
        <f t="shared" si="3"/>
        <v>113650291.00000001</v>
      </c>
      <c r="F40" s="329">
        <f t="shared" si="3"/>
        <v>110819751.63</v>
      </c>
      <c r="G40" s="330">
        <f t="shared" si="3"/>
        <v>111340502.91000003</v>
      </c>
      <c r="H40" s="328">
        <f t="shared" si="3"/>
        <v>111340502.91000003</v>
      </c>
      <c r="I40" s="331">
        <f t="shared" si="3"/>
        <v>17831558.759999998</v>
      </c>
      <c r="J40" s="329">
        <f t="shared" si="3"/>
        <v>116339135</v>
      </c>
      <c r="K40" s="330">
        <f t="shared" si="3"/>
        <v>123203143.96500003</v>
      </c>
      <c r="L40" s="328">
        <f t="shared" si="3"/>
        <v>130102520.02704008</v>
      </c>
      <c r="M40" s="369"/>
    </row>
    <row r="41" spans="1:18" ht="5.0999999999999996" customHeight="1" x14ac:dyDescent="0.25">
      <c r="A41" s="201"/>
      <c r="B41" s="293"/>
      <c r="C41" s="324"/>
      <c r="D41" s="324"/>
      <c r="E41" s="193"/>
      <c r="F41" s="194"/>
      <c r="G41" s="192"/>
      <c r="H41" s="193"/>
      <c r="I41" s="191"/>
      <c r="J41" s="194"/>
      <c r="K41" s="192"/>
      <c r="L41" s="193"/>
      <c r="M41" s="369"/>
    </row>
    <row r="42" spans="1:18" ht="11.25" customHeight="1" x14ac:dyDescent="0.25">
      <c r="A42" s="181" t="s">
        <v>1229</v>
      </c>
      <c r="B42" s="293"/>
      <c r="C42" s="324"/>
      <c r="D42" s="324"/>
      <c r="E42" s="193"/>
      <c r="F42" s="194"/>
      <c r="G42" s="192"/>
      <c r="H42" s="193"/>
      <c r="I42" s="191"/>
      <c r="J42" s="1268"/>
      <c r="K42" s="192"/>
      <c r="L42" s="1269"/>
      <c r="M42" s="369"/>
    </row>
    <row r="43" spans="1:18" ht="11.25" customHeight="1" x14ac:dyDescent="0.25">
      <c r="A43" s="1266" t="s">
        <v>1122</v>
      </c>
      <c r="B43" s="1183"/>
      <c r="C43" s="1126">
        <f>SUM(C44:C46)</f>
        <v>44966000</v>
      </c>
      <c r="D43" s="1126">
        <f t="shared" ref="D43:L43" si="4">SUM(D44:D46)</f>
        <v>297950.90000000002</v>
      </c>
      <c r="E43" s="1406">
        <f t="shared" si="4"/>
        <v>711498</v>
      </c>
      <c r="F43" s="1130">
        <f t="shared" si="4"/>
        <v>0</v>
      </c>
      <c r="G43" s="1126">
        <f t="shared" si="4"/>
        <v>0</v>
      </c>
      <c r="H43" s="1407">
        <f t="shared" si="4"/>
        <v>0</v>
      </c>
      <c r="I43" s="1129">
        <f t="shared" si="4"/>
        <v>0</v>
      </c>
      <c r="J43" s="1130">
        <f t="shared" si="4"/>
        <v>0</v>
      </c>
      <c r="K43" s="1126">
        <f t="shared" si="4"/>
        <v>0</v>
      </c>
      <c r="L43" s="1407">
        <f t="shared" si="4"/>
        <v>0</v>
      </c>
      <c r="M43" s="369"/>
      <c r="Q43" s="252"/>
      <c r="R43" s="253"/>
    </row>
    <row r="44" spans="1:18" ht="11.25" customHeight="1" x14ac:dyDescent="0.25">
      <c r="A44" s="1267" t="s">
        <v>142</v>
      </c>
      <c r="B44" s="1183"/>
      <c r="C44" s="1606">
        <v>44966000</v>
      </c>
      <c r="D44" s="1606"/>
      <c r="E44" s="1628"/>
      <c r="F44" s="1629"/>
      <c r="G44" s="1606"/>
      <c r="H44" s="1630"/>
      <c r="I44" s="1629"/>
      <c r="J44" s="1608"/>
      <c r="K44" s="1606"/>
      <c r="L44" s="1609"/>
      <c r="M44" s="369"/>
      <c r="Q44" s="252"/>
      <c r="R44" s="253"/>
    </row>
    <row r="45" spans="1:18" ht="11.25" customHeight="1" x14ac:dyDescent="0.25">
      <c r="A45" s="1267" t="s">
        <v>143</v>
      </c>
      <c r="B45" s="1183"/>
      <c r="C45" s="1631"/>
      <c r="D45" s="1631">
        <v>234000</v>
      </c>
      <c r="E45" s="1632"/>
      <c r="F45" s="1633"/>
      <c r="G45" s="1631"/>
      <c r="H45" s="1634"/>
      <c r="I45" s="1633"/>
      <c r="J45" s="1635"/>
      <c r="K45" s="1631"/>
      <c r="L45" s="1640"/>
      <c r="M45" s="369"/>
      <c r="Q45" s="252"/>
      <c r="R45" s="253"/>
    </row>
    <row r="46" spans="1:18" ht="11.25" customHeight="1" x14ac:dyDescent="0.25">
      <c r="A46" s="1267" t="s">
        <v>144</v>
      </c>
      <c r="B46" s="1183"/>
      <c r="C46" s="1606"/>
      <c r="D46" s="1606">
        <v>63950.899999999994</v>
      </c>
      <c r="E46" s="1628">
        <f>A5A!E395</f>
        <v>711498</v>
      </c>
      <c r="F46" s="1629"/>
      <c r="G46" s="1606"/>
      <c r="H46" s="1630"/>
      <c r="I46" s="1629"/>
      <c r="J46" s="1608"/>
      <c r="K46" s="1606"/>
      <c r="L46" s="1609"/>
      <c r="M46" s="369"/>
      <c r="Q46" s="252"/>
      <c r="R46" s="253"/>
    </row>
    <row r="47" spans="1:18" ht="11.25" customHeight="1" x14ac:dyDescent="0.25">
      <c r="A47" s="1266" t="s">
        <v>145</v>
      </c>
      <c r="B47" s="1183"/>
      <c r="C47" s="1126">
        <f>SUM(C48:C52)</f>
        <v>0</v>
      </c>
      <c r="D47" s="1126">
        <f t="shared" ref="D47:L47" si="5">SUM(D48:D52)</f>
        <v>213590</v>
      </c>
      <c r="E47" s="1127">
        <f t="shared" si="5"/>
        <v>0</v>
      </c>
      <c r="F47" s="1128">
        <f t="shared" si="5"/>
        <v>0</v>
      </c>
      <c r="G47" s="1126">
        <f t="shared" si="5"/>
        <v>0</v>
      </c>
      <c r="H47" s="1129">
        <f t="shared" si="5"/>
        <v>0</v>
      </c>
      <c r="I47" s="1128">
        <f t="shared" si="5"/>
        <v>0</v>
      </c>
      <c r="J47" s="1130">
        <f t="shared" si="5"/>
        <v>0</v>
      </c>
      <c r="K47" s="1126">
        <f t="shared" si="5"/>
        <v>0</v>
      </c>
      <c r="L47" s="1407">
        <f t="shared" si="5"/>
        <v>0</v>
      </c>
      <c r="M47" s="369"/>
      <c r="Q47" s="252"/>
      <c r="R47" s="253"/>
    </row>
    <row r="48" spans="1:18" ht="11.25" customHeight="1" x14ac:dyDescent="0.25">
      <c r="A48" s="1267" t="s">
        <v>146</v>
      </c>
      <c r="B48" s="1183"/>
      <c r="C48" s="1606"/>
      <c r="D48" s="1606"/>
      <c r="E48" s="1628"/>
      <c r="F48" s="1629"/>
      <c r="G48" s="1606"/>
      <c r="H48" s="1630"/>
      <c r="I48" s="1629"/>
      <c r="J48" s="1608"/>
      <c r="K48" s="1606"/>
      <c r="L48" s="1609"/>
      <c r="M48" s="369"/>
      <c r="Q48" s="252"/>
      <c r="R48" s="253"/>
    </row>
    <row r="49" spans="1:18" ht="11.25" customHeight="1" x14ac:dyDescent="0.25">
      <c r="A49" s="1267" t="s">
        <v>147</v>
      </c>
      <c r="B49" s="1183"/>
      <c r="C49" s="1606"/>
      <c r="D49" s="1606"/>
      <c r="E49" s="1628"/>
      <c r="F49" s="1629"/>
      <c r="G49" s="1606"/>
      <c r="H49" s="1630"/>
      <c r="I49" s="1629"/>
      <c r="J49" s="1608"/>
      <c r="K49" s="1606"/>
      <c r="L49" s="1609"/>
      <c r="M49" s="369"/>
      <c r="Q49" s="252"/>
      <c r="R49" s="253"/>
    </row>
    <row r="50" spans="1:18" ht="11.25" customHeight="1" x14ac:dyDescent="0.25">
      <c r="A50" s="1267" t="s">
        <v>148</v>
      </c>
      <c r="B50" s="1183"/>
      <c r="C50" s="1606"/>
      <c r="D50" s="1606">
        <v>213590</v>
      </c>
      <c r="E50" s="1628"/>
      <c r="F50" s="1629"/>
      <c r="G50" s="1606"/>
      <c r="H50" s="1630"/>
      <c r="I50" s="1629"/>
      <c r="J50" s="1608"/>
      <c r="K50" s="1606"/>
      <c r="L50" s="1609"/>
      <c r="M50" s="369"/>
      <c r="Q50" s="252"/>
      <c r="R50" s="253"/>
    </row>
    <row r="51" spans="1:18" ht="11.25" customHeight="1" x14ac:dyDescent="0.25">
      <c r="A51" s="1267" t="s">
        <v>1702</v>
      </c>
      <c r="B51" s="1183"/>
      <c r="C51" s="1606"/>
      <c r="D51" s="1606"/>
      <c r="E51" s="1628"/>
      <c r="F51" s="1629"/>
      <c r="G51" s="1606"/>
      <c r="H51" s="1630"/>
      <c r="I51" s="1629"/>
      <c r="J51" s="1608"/>
      <c r="K51" s="1606"/>
      <c r="L51" s="1609"/>
      <c r="M51" s="369"/>
      <c r="Q51" s="252"/>
      <c r="R51" s="253"/>
    </row>
    <row r="52" spans="1:18" ht="11.25" customHeight="1" x14ac:dyDescent="0.25">
      <c r="A52" s="1267" t="s">
        <v>1781</v>
      </c>
      <c r="B52" s="1183"/>
      <c r="C52" s="1631"/>
      <c r="D52" s="1631"/>
      <c r="E52" s="1632"/>
      <c r="F52" s="1633"/>
      <c r="G52" s="1631"/>
      <c r="H52" s="1634"/>
      <c r="I52" s="1633"/>
      <c r="J52" s="1635"/>
      <c r="K52" s="1631"/>
      <c r="L52" s="1640"/>
      <c r="M52" s="369"/>
      <c r="Q52" s="252"/>
      <c r="R52" s="253"/>
    </row>
    <row r="53" spans="1:18" ht="11.25" customHeight="1" x14ac:dyDescent="0.25">
      <c r="A53" s="1266" t="s">
        <v>149</v>
      </c>
      <c r="B53" s="1125"/>
      <c r="C53" s="1126">
        <f>SUM(C54:C56)</f>
        <v>0</v>
      </c>
      <c r="D53" s="1126">
        <f t="shared" ref="D53:L53" si="6">SUM(D54:D56)</f>
        <v>16257493.130000003</v>
      </c>
      <c r="E53" s="1127">
        <f t="shared" si="6"/>
        <v>112938793.00000001</v>
      </c>
      <c r="F53" s="1128">
        <f t="shared" si="6"/>
        <v>110819751.63</v>
      </c>
      <c r="G53" s="1126">
        <f t="shared" si="6"/>
        <v>111340502.91000003</v>
      </c>
      <c r="H53" s="1129">
        <f t="shared" si="6"/>
        <v>111340502.91000003</v>
      </c>
      <c r="I53" s="1128">
        <f t="shared" si="6"/>
        <v>17831558.759999998</v>
      </c>
      <c r="J53" s="1130">
        <f t="shared" si="6"/>
        <v>115239135</v>
      </c>
      <c r="K53" s="1126">
        <f t="shared" si="6"/>
        <v>121577287.425</v>
      </c>
      <c r="L53" s="1407">
        <f t="shared" si="6"/>
        <v>128020883.65852499</v>
      </c>
      <c r="M53" s="369"/>
      <c r="Q53" s="252"/>
      <c r="R53" s="253"/>
    </row>
    <row r="54" spans="1:18" ht="11.25" customHeight="1" x14ac:dyDescent="0.25">
      <c r="A54" s="1267" t="s">
        <v>150</v>
      </c>
      <c r="B54" s="1183"/>
      <c r="C54" s="1606"/>
      <c r="D54" s="1606">
        <v>16257493.130000003</v>
      </c>
      <c r="E54" s="1628">
        <f>A5A!E219</f>
        <v>112938793.00000001</v>
      </c>
      <c r="F54" s="1629">
        <v>110819751.63</v>
      </c>
      <c r="G54" s="1606">
        <f>A5A!G219+A5A!G329</f>
        <v>111340502.91000003</v>
      </c>
      <c r="H54" s="1630">
        <v>111340502.91000003</v>
      </c>
      <c r="I54" s="1629">
        <f>A5A!I219</f>
        <v>17831558.759999998</v>
      </c>
      <c r="J54" s="1608">
        <f>A5A!J219+A5A!J329</f>
        <v>115239135</v>
      </c>
      <c r="K54" s="1606">
        <f>J54*1.055</f>
        <v>121577287.425</v>
      </c>
      <c r="L54" s="1609">
        <f>K54*1.053</f>
        <v>128020883.65852499</v>
      </c>
      <c r="M54" s="369"/>
      <c r="Q54" s="252"/>
      <c r="R54" s="253"/>
    </row>
    <row r="55" spans="1:18" ht="11.25" customHeight="1" x14ac:dyDescent="0.25">
      <c r="A55" s="1267" t="s">
        <v>151</v>
      </c>
      <c r="B55" s="1183"/>
      <c r="C55" s="1606"/>
      <c r="D55" s="1606"/>
      <c r="E55" s="1628"/>
      <c r="F55" s="1629"/>
      <c r="G55" s="1606"/>
      <c r="H55" s="1630"/>
      <c r="I55" s="1629"/>
      <c r="J55" s="1608"/>
      <c r="K55" s="1606"/>
      <c r="L55" s="1609"/>
      <c r="M55" s="369"/>
      <c r="Q55" s="252"/>
      <c r="R55" s="253"/>
    </row>
    <row r="56" spans="1:18" ht="11.25" customHeight="1" x14ac:dyDescent="0.25">
      <c r="A56" s="1267" t="s">
        <v>152</v>
      </c>
      <c r="B56" s="1183"/>
      <c r="C56" s="1606"/>
      <c r="D56" s="1606"/>
      <c r="E56" s="1628"/>
      <c r="F56" s="1629"/>
      <c r="G56" s="1606"/>
      <c r="H56" s="1630"/>
      <c r="I56" s="1629"/>
      <c r="J56" s="1608"/>
      <c r="K56" s="1606"/>
      <c r="L56" s="1609"/>
      <c r="M56" s="369"/>
      <c r="Q56" s="252"/>
      <c r="R56" s="253"/>
    </row>
    <row r="57" spans="1:18" ht="11.25" customHeight="1" x14ac:dyDescent="0.25">
      <c r="A57" s="1266" t="s">
        <v>153</v>
      </c>
      <c r="B57" s="1125"/>
      <c r="C57" s="1126">
        <f>SUM(C58:C61)</f>
        <v>0</v>
      </c>
      <c r="D57" s="1126">
        <f t="shared" ref="D57:L57" si="7">SUM(D58:D61)</f>
        <v>0</v>
      </c>
      <c r="E57" s="1127">
        <f t="shared" si="7"/>
        <v>0</v>
      </c>
      <c r="F57" s="1128">
        <f t="shared" si="7"/>
        <v>0</v>
      </c>
      <c r="G57" s="1126">
        <f t="shared" si="7"/>
        <v>0</v>
      </c>
      <c r="H57" s="1129">
        <f t="shared" si="7"/>
        <v>0</v>
      </c>
      <c r="I57" s="1128">
        <f t="shared" si="7"/>
        <v>0</v>
      </c>
      <c r="J57" s="1130">
        <f t="shared" si="7"/>
        <v>1100000</v>
      </c>
      <c r="K57" s="1126">
        <f t="shared" si="7"/>
        <v>1160500</v>
      </c>
      <c r="L57" s="1407">
        <f t="shared" si="7"/>
        <v>1222006.5</v>
      </c>
      <c r="M57" s="369"/>
      <c r="Q57" s="252"/>
      <c r="R57" s="253"/>
    </row>
    <row r="58" spans="1:18" ht="11.25" customHeight="1" x14ac:dyDescent="0.25">
      <c r="A58" s="1267" t="s">
        <v>649</v>
      </c>
      <c r="B58" s="1183"/>
      <c r="C58" s="1606"/>
      <c r="D58" s="1606"/>
      <c r="E58" s="1628"/>
      <c r="F58" s="1629"/>
      <c r="G58" s="1606"/>
      <c r="H58" s="1630"/>
      <c r="I58" s="1629"/>
      <c r="J58" s="1046">
        <v>1100000</v>
      </c>
      <c r="K58" s="1044">
        <v>1160500</v>
      </c>
      <c r="L58" s="1045">
        <v>1222006.5</v>
      </c>
      <c r="M58" s="369"/>
      <c r="Q58" s="252"/>
      <c r="R58" s="253"/>
    </row>
    <row r="59" spans="1:18" ht="11.25" customHeight="1" x14ac:dyDescent="0.25">
      <c r="A59" s="1267" t="s">
        <v>948</v>
      </c>
      <c r="B59" s="1183"/>
      <c r="C59" s="1606"/>
      <c r="D59" s="1606"/>
      <c r="E59" s="1628"/>
      <c r="F59" s="1629"/>
      <c r="G59" s="1606"/>
      <c r="H59" s="1630"/>
      <c r="I59" s="1629"/>
      <c r="J59" s="1608"/>
      <c r="K59" s="1606"/>
      <c r="L59" s="1609"/>
      <c r="M59" s="369"/>
      <c r="Q59" s="252"/>
      <c r="R59" s="253"/>
    </row>
    <row r="60" spans="1:18" ht="11.25" customHeight="1" x14ac:dyDescent="0.25">
      <c r="A60" s="1267" t="s">
        <v>1124</v>
      </c>
      <c r="B60" s="1183"/>
      <c r="C60" s="1631"/>
      <c r="D60" s="1631"/>
      <c r="E60" s="1632"/>
      <c r="F60" s="1633"/>
      <c r="G60" s="1631"/>
      <c r="H60" s="1634"/>
      <c r="I60" s="1633"/>
      <c r="J60" s="1635"/>
      <c r="K60" s="1631"/>
      <c r="L60" s="1640"/>
      <c r="M60" s="369"/>
      <c r="Q60" s="252"/>
      <c r="R60" s="253"/>
    </row>
    <row r="61" spans="1:18" ht="11.25" customHeight="1" x14ac:dyDescent="0.25">
      <c r="A61" s="1267" t="s">
        <v>1125</v>
      </c>
      <c r="B61" s="1183"/>
      <c r="C61" s="1606"/>
      <c r="D61" s="1606"/>
      <c r="E61" s="1628"/>
      <c r="F61" s="1629"/>
      <c r="G61" s="1606"/>
      <c r="H61" s="1630"/>
      <c r="I61" s="1629"/>
      <c r="J61" s="1608"/>
      <c r="K61" s="1606"/>
      <c r="L61" s="1609"/>
      <c r="M61" s="369"/>
      <c r="Q61" s="252"/>
      <c r="R61" s="253"/>
    </row>
    <row r="62" spans="1:18" ht="11.25" customHeight="1" x14ac:dyDescent="0.25">
      <c r="A62" s="1266" t="s">
        <v>292</v>
      </c>
      <c r="B62" s="1125"/>
      <c r="C62" s="1641"/>
      <c r="D62" s="1641"/>
      <c r="E62" s="1642"/>
      <c r="F62" s="1643"/>
      <c r="G62" s="1641"/>
      <c r="H62" s="1644"/>
      <c r="I62" s="1643"/>
      <c r="J62" s="1645"/>
      <c r="K62" s="1646"/>
      <c r="L62" s="1647"/>
      <c r="M62" s="369"/>
      <c r="Q62" s="252"/>
      <c r="R62" s="253"/>
    </row>
    <row r="63" spans="1:18" x14ac:dyDescent="0.25">
      <c r="A63" s="332" t="s">
        <v>1230</v>
      </c>
      <c r="B63" s="306">
        <v>3</v>
      </c>
      <c r="C63" s="227">
        <f>C43+C47+C53+C57+C62</f>
        <v>44966000</v>
      </c>
      <c r="D63" s="227">
        <f t="shared" ref="D63:K63" si="8">D43+D47+D53+D57+D62</f>
        <v>16769034.030000003</v>
      </c>
      <c r="E63" s="352">
        <f t="shared" si="8"/>
        <v>113650291.00000001</v>
      </c>
      <c r="F63" s="353">
        <f t="shared" si="8"/>
        <v>110819751.63</v>
      </c>
      <c r="G63" s="227">
        <f t="shared" si="8"/>
        <v>111340502.91000003</v>
      </c>
      <c r="H63" s="352">
        <f t="shared" si="8"/>
        <v>111340502.91000003</v>
      </c>
      <c r="I63" s="226">
        <f t="shared" si="8"/>
        <v>17831558.759999998</v>
      </c>
      <c r="J63" s="353">
        <f t="shared" si="8"/>
        <v>116339135</v>
      </c>
      <c r="K63" s="227">
        <f t="shared" si="8"/>
        <v>122737787.425</v>
      </c>
      <c r="L63" s="352">
        <f>L43+L47+L53+L57+L62</f>
        <v>129242890.15852499</v>
      </c>
      <c r="M63" s="369"/>
    </row>
    <row r="64" spans="1:18" ht="5.0999999999999996" customHeight="1" x14ac:dyDescent="0.25">
      <c r="A64" s="197"/>
      <c r="B64" s="293"/>
      <c r="C64" s="218"/>
      <c r="D64" s="218"/>
      <c r="E64" s="217"/>
      <c r="F64" s="220"/>
      <c r="G64" s="218"/>
      <c r="H64" s="219"/>
      <c r="I64" s="217"/>
      <c r="J64" s="220"/>
      <c r="K64" s="218"/>
      <c r="L64" s="219"/>
      <c r="M64" s="369"/>
    </row>
    <row r="65" spans="1:13" ht="11.25" customHeight="1" x14ac:dyDescent="0.25">
      <c r="A65" s="181" t="s">
        <v>490</v>
      </c>
      <c r="B65" s="293"/>
      <c r="C65" s="203"/>
      <c r="D65" s="203"/>
      <c r="E65" s="202"/>
      <c r="F65" s="205"/>
      <c r="G65" s="203"/>
      <c r="H65" s="204"/>
      <c r="I65" s="202"/>
      <c r="J65" s="205"/>
      <c r="K65" s="203"/>
      <c r="L65" s="204"/>
      <c r="M65" s="369"/>
    </row>
    <row r="66" spans="1:13" ht="11.25" customHeight="1" x14ac:dyDescent="0.25">
      <c r="A66" s="417" t="s">
        <v>1542</v>
      </c>
      <c r="B66" s="293"/>
      <c r="C66" s="1606">
        <v>44966000</v>
      </c>
      <c r="D66" s="1606">
        <v>16769034.030000003</v>
      </c>
      <c r="E66" s="1630">
        <v>113650291.00000001</v>
      </c>
      <c r="F66" s="1629">
        <v>110819751.63</v>
      </c>
      <c r="G66" s="1606">
        <v>111340502.91000003</v>
      </c>
      <c r="H66" s="1628">
        <v>111340502.91000003</v>
      </c>
      <c r="I66" s="1630">
        <v>17831558.759999998</v>
      </c>
      <c r="J66" s="1629">
        <v>116339135</v>
      </c>
      <c r="K66" s="1606">
        <v>122737787.425</v>
      </c>
      <c r="L66" s="1628">
        <v>129242890.15852499</v>
      </c>
      <c r="M66" s="369"/>
    </row>
    <row r="67" spans="1:13" ht="11.25" customHeight="1" x14ac:dyDescent="0.25">
      <c r="A67" s="417" t="s">
        <v>541</v>
      </c>
      <c r="B67" s="293"/>
      <c r="C67" s="1631"/>
      <c r="D67" s="1606"/>
      <c r="E67" s="1630"/>
      <c r="F67" s="1629"/>
      <c r="G67" s="1606"/>
      <c r="H67" s="1628"/>
      <c r="I67" s="1630"/>
      <c r="J67" s="1629"/>
      <c r="K67" s="1606"/>
      <c r="L67" s="1628"/>
      <c r="M67" s="369"/>
    </row>
    <row r="68" spans="1:13" ht="11.25" customHeight="1" x14ac:dyDescent="0.25">
      <c r="A68" s="417" t="s">
        <v>542</v>
      </c>
      <c r="B68" s="293"/>
      <c r="C68" s="1631"/>
      <c r="D68" s="1631"/>
      <c r="E68" s="1631"/>
      <c r="F68" s="1633"/>
      <c r="G68" s="1631"/>
      <c r="H68" s="1632"/>
      <c r="I68" s="1630"/>
      <c r="J68" s="1633"/>
      <c r="K68" s="1631"/>
      <c r="L68" s="1632"/>
      <c r="M68" s="369"/>
    </row>
    <row r="69" spans="1:13" ht="11.25" customHeight="1" x14ac:dyDescent="0.25">
      <c r="A69" s="1276" t="s">
        <v>1031</v>
      </c>
      <c r="B69" s="293"/>
      <c r="C69" s="1631"/>
      <c r="D69" s="1631"/>
      <c r="E69" s="1634"/>
      <c r="F69" s="1633"/>
      <c r="G69" s="1631"/>
      <c r="H69" s="1632"/>
      <c r="I69" s="1629"/>
      <c r="J69" s="1633"/>
      <c r="K69" s="1631"/>
      <c r="L69" s="1632"/>
      <c r="M69" s="369"/>
    </row>
    <row r="70" spans="1:13" ht="11.25" customHeight="1" x14ac:dyDescent="0.25">
      <c r="A70" s="1542" t="s">
        <v>1335</v>
      </c>
      <c r="B70" s="293">
        <v>4</v>
      </c>
      <c r="C70" s="213">
        <f t="shared" ref="C70:L70" si="9">SUM(C66:C69)</f>
        <v>44966000</v>
      </c>
      <c r="D70" s="213">
        <f t="shared" si="9"/>
        <v>16769034.030000003</v>
      </c>
      <c r="E70" s="212">
        <f t="shared" si="9"/>
        <v>113650291.00000001</v>
      </c>
      <c r="F70" s="215">
        <f t="shared" si="9"/>
        <v>110819751.63</v>
      </c>
      <c r="G70" s="213">
        <f t="shared" si="9"/>
        <v>111340502.91000003</v>
      </c>
      <c r="H70" s="214">
        <f t="shared" si="9"/>
        <v>111340502.91000003</v>
      </c>
      <c r="I70" s="212">
        <f t="shared" si="9"/>
        <v>17831558.759999998</v>
      </c>
      <c r="J70" s="215">
        <f t="shared" si="9"/>
        <v>116339135</v>
      </c>
      <c r="K70" s="213">
        <f t="shared" si="9"/>
        <v>122737787.425</v>
      </c>
      <c r="L70" s="214">
        <f t="shared" si="9"/>
        <v>129242890.15852499</v>
      </c>
      <c r="M70" s="1547"/>
    </row>
    <row r="71" spans="1:13" ht="11.25" customHeight="1" x14ac:dyDescent="0.25">
      <c r="A71" s="416" t="s">
        <v>457</v>
      </c>
      <c r="B71" s="293">
        <v>5</v>
      </c>
      <c r="C71" s="1631"/>
      <c r="D71" s="1606"/>
      <c r="E71" s="1630"/>
      <c r="F71" s="1629"/>
      <c r="G71" s="1606"/>
      <c r="H71" s="1628"/>
      <c r="I71" s="1630"/>
      <c r="J71" s="1629"/>
      <c r="K71" s="1606"/>
      <c r="L71" s="1628"/>
      <c r="M71" s="369"/>
    </row>
    <row r="72" spans="1:13" ht="11.25" customHeight="1" x14ac:dyDescent="0.25">
      <c r="A72" s="416" t="s">
        <v>1272</v>
      </c>
      <c r="B72" s="293">
        <v>6</v>
      </c>
      <c r="C72" s="1606"/>
      <c r="D72" s="1606"/>
      <c r="E72" s="1630"/>
      <c r="F72" s="1629"/>
      <c r="G72" s="1606"/>
      <c r="H72" s="1628"/>
      <c r="I72" s="1630"/>
      <c r="J72" s="1629"/>
      <c r="K72" s="1606"/>
      <c r="L72" s="1628"/>
      <c r="M72" s="369"/>
    </row>
    <row r="73" spans="1:13" ht="11.25" customHeight="1" x14ac:dyDescent="0.25">
      <c r="A73" s="416" t="s">
        <v>491</v>
      </c>
      <c r="B73" s="293"/>
      <c r="C73" s="1606"/>
      <c r="D73" s="1606"/>
      <c r="E73" s="1630"/>
      <c r="F73" s="1629"/>
      <c r="G73" s="1606"/>
      <c r="H73" s="1628"/>
      <c r="I73" s="1630"/>
      <c r="J73" s="1629"/>
      <c r="K73" s="1606"/>
      <c r="L73" s="1628"/>
      <c r="M73" s="369"/>
    </row>
    <row r="74" spans="1:13" x14ac:dyDescent="0.25">
      <c r="A74" s="224" t="s">
        <v>777</v>
      </c>
      <c r="B74" s="306">
        <v>7</v>
      </c>
      <c r="C74" s="230">
        <f t="shared" ref="C74:L74" si="10">SUM(C70:C73)</f>
        <v>44966000</v>
      </c>
      <c r="D74" s="230">
        <f t="shared" si="10"/>
        <v>16769034.030000003</v>
      </c>
      <c r="E74" s="231">
        <f t="shared" si="10"/>
        <v>113650291.00000001</v>
      </c>
      <c r="F74" s="229">
        <f t="shared" si="10"/>
        <v>110819751.63</v>
      </c>
      <c r="G74" s="230">
        <f t="shared" si="10"/>
        <v>111340502.91000003</v>
      </c>
      <c r="H74" s="228">
        <f t="shared" si="10"/>
        <v>111340502.91000003</v>
      </c>
      <c r="I74" s="231">
        <f t="shared" si="10"/>
        <v>17831558.759999998</v>
      </c>
      <c r="J74" s="229">
        <f t="shared" si="10"/>
        <v>116339135</v>
      </c>
      <c r="K74" s="230">
        <f t="shared" si="10"/>
        <v>122737787.425</v>
      </c>
      <c r="L74" s="228">
        <f t="shared" si="10"/>
        <v>129242890.15852499</v>
      </c>
      <c r="M74" s="369"/>
    </row>
    <row r="75" spans="1:13" s="708" customFormat="1" x14ac:dyDescent="0.25">
      <c r="A75" s="1228" t="str">
        <f>head27a</f>
        <v>References</v>
      </c>
      <c r="B75" s="1189"/>
      <c r="C75" s="1192"/>
      <c r="D75" s="1192"/>
      <c r="E75" s="1192"/>
      <c r="F75" s="1192"/>
      <c r="G75" s="1192"/>
      <c r="H75" s="1192"/>
      <c r="I75" s="1192"/>
      <c r="J75" s="1192"/>
      <c r="K75" s="1192"/>
      <c r="L75" s="1192"/>
      <c r="M75" s="1082"/>
    </row>
    <row r="76" spans="1:13" s="708" customFormat="1" ht="12" customHeight="1" x14ac:dyDescent="0.25">
      <c r="A76" s="1190" t="s">
        <v>193</v>
      </c>
      <c r="B76" s="1189"/>
      <c r="C76" s="1191"/>
      <c r="D76" s="1191"/>
      <c r="E76" s="1192"/>
      <c r="F76" s="1192"/>
      <c r="G76" s="1192"/>
      <c r="H76" s="1192"/>
      <c r="I76" s="1192"/>
      <c r="J76" s="1192"/>
      <c r="K76" s="1192"/>
      <c r="L76" s="1192"/>
      <c r="M76" s="1082"/>
    </row>
    <row r="77" spans="1:13" s="708" customFormat="1" ht="12" customHeight="1" x14ac:dyDescent="0.25">
      <c r="A77" s="2783" t="s">
        <v>1032</v>
      </c>
      <c r="B77" s="2783"/>
      <c r="C77" s="2783"/>
      <c r="D77" s="2783"/>
      <c r="E77" s="2783"/>
      <c r="F77" s="2783"/>
      <c r="G77" s="2783"/>
      <c r="H77" s="2783"/>
      <c r="I77" s="2783"/>
      <c r="J77" s="2783"/>
      <c r="K77" s="2783"/>
      <c r="L77" s="2783"/>
      <c r="M77" s="1082"/>
    </row>
    <row r="78" spans="1:13" s="708" customFormat="1" ht="12" customHeight="1" x14ac:dyDescent="0.25">
      <c r="A78" s="2783" t="s">
        <v>1033</v>
      </c>
      <c r="B78" s="2783"/>
      <c r="C78" s="2783"/>
      <c r="D78" s="2783"/>
      <c r="E78" s="2783"/>
      <c r="F78" s="2783"/>
      <c r="G78" s="2783"/>
      <c r="H78" s="2783"/>
      <c r="I78" s="2783"/>
      <c r="J78" s="2783"/>
      <c r="K78" s="2783"/>
      <c r="L78" s="2783"/>
      <c r="M78" s="1082"/>
    </row>
    <row r="79" spans="1:13" s="708" customFormat="1" ht="12" customHeight="1" x14ac:dyDescent="0.25">
      <c r="A79" s="2784" t="s">
        <v>1034</v>
      </c>
      <c r="B79" s="2784"/>
      <c r="C79" s="2784"/>
      <c r="D79" s="2784"/>
      <c r="E79" s="2784"/>
      <c r="F79" s="2784"/>
      <c r="G79" s="2784"/>
      <c r="H79" s="2784"/>
      <c r="I79" s="2784"/>
      <c r="J79" s="2784"/>
      <c r="K79" s="2784"/>
      <c r="L79" s="2784"/>
      <c r="M79" s="1082"/>
    </row>
    <row r="80" spans="1:13" s="708" customFormat="1" ht="12" customHeight="1" x14ac:dyDescent="0.25">
      <c r="A80" s="1190" t="s">
        <v>194</v>
      </c>
      <c r="B80" s="1262"/>
      <c r="C80" s="1262"/>
      <c r="D80" s="1262"/>
      <c r="E80" s="1262"/>
      <c r="F80" s="1262"/>
      <c r="G80" s="1262"/>
      <c r="H80" s="1262"/>
      <c r="I80" s="1262"/>
      <c r="J80" s="1262"/>
      <c r="K80" s="1262"/>
      <c r="L80" s="1262"/>
      <c r="M80" s="1082"/>
    </row>
    <row r="81" spans="1:13" s="708" customFormat="1" ht="12" customHeight="1" x14ac:dyDescent="0.25">
      <c r="A81" s="1190" t="s">
        <v>1035</v>
      </c>
      <c r="B81" s="1262"/>
      <c r="C81" s="1262"/>
      <c r="D81" s="1262"/>
      <c r="E81" s="1262"/>
      <c r="F81" s="1262"/>
      <c r="G81" s="1262"/>
      <c r="H81" s="1262"/>
      <c r="I81" s="1262"/>
      <c r="J81" s="1262"/>
      <c r="K81" s="1262"/>
      <c r="L81" s="1262"/>
      <c r="M81" s="1082"/>
    </row>
    <row r="82" spans="1:13" s="708" customFormat="1" ht="12" customHeight="1" x14ac:dyDescent="0.25">
      <c r="A82" s="1190" t="s">
        <v>195</v>
      </c>
      <c r="B82" s="1189"/>
      <c r="C82" s="1191"/>
      <c r="D82" s="1191"/>
      <c r="E82" s="1192"/>
      <c r="F82" s="1192"/>
      <c r="G82" s="1192"/>
      <c r="H82" s="1192"/>
      <c r="I82" s="1192"/>
      <c r="J82" s="1192"/>
      <c r="K82" s="1192"/>
      <c r="L82" s="1192"/>
      <c r="M82" s="1082"/>
    </row>
    <row r="83" spans="1:13" s="1056" customFormat="1" ht="12" customHeight="1" x14ac:dyDescent="0.25">
      <c r="A83" s="2782" t="s">
        <v>1440</v>
      </c>
      <c r="B83" s="2782"/>
      <c r="C83" s="2782"/>
      <c r="D83" s="2782"/>
      <c r="E83" s="2782"/>
      <c r="F83" s="2782"/>
      <c r="G83" s="2782"/>
      <c r="H83" s="2782"/>
      <c r="I83" s="2782"/>
      <c r="J83" s="2782"/>
      <c r="K83" s="2782"/>
      <c r="L83" s="2782"/>
      <c r="M83" s="1548"/>
    </row>
    <row r="84" spans="1:13" s="1056" customFormat="1" ht="11.25" customHeight="1" x14ac:dyDescent="0.25">
      <c r="M84" s="1548"/>
    </row>
    <row r="85" spans="1:13" ht="11.25" customHeight="1" x14ac:dyDescent="0.25">
      <c r="A85" s="288" t="s">
        <v>295</v>
      </c>
      <c r="B85" s="243"/>
      <c r="C85" s="338">
        <f>IF((C63-C74)=0,0,"Unbalanced")</f>
        <v>0</v>
      </c>
      <c r="D85" s="338">
        <f t="shared" ref="D85:L85" si="11">IF((D63-D74)=0,0,"Unbalanced")</f>
        <v>0</v>
      </c>
      <c r="E85" s="338">
        <f t="shared" si="11"/>
        <v>0</v>
      </c>
      <c r="F85" s="338">
        <f t="shared" si="11"/>
        <v>0</v>
      </c>
      <c r="G85" s="338">
        <f t="shared" si="11"/>
        <v>0</v>
      </c>
      <c r="H85" s="338">
        <f t="shared" si="11"/>
        <v>0</v>
      </c>
      <c r="I85" s="338">
        <f t="shared" si="11"/>
        <v>0</v>
      </c>
      <c r="J85" s="338">
        <f t="shared" si="11"/>
        <v>0</v>
      </c>
      <c r="K85" s="338">
        <f t="shared" si="11"/>
        <v>0</v>
      </c>
      <c r="L85" s="338">
        <f t="shared" si="11"/>
        <v>0</v>
      </c>
    </row>
    <row r="86" spans="1:13" ht="11.25" customHeight="1" x14ac:dyDescent="0.25">
      <c r="A86" s="288"/>
      <c r="C86" s="338"/>
      <c r="D86" s="338"/>
      <c r="E86" s="339"/>
      <c r="F86" s="340"/>
      <c r="G86" s="339"/>
      <c r="H86" s="339"/>
      <c r="I86" s="339"/>
      <c r="J86" s="339"/>
      <c r="K86" s="339"/>
      <c r="L86" s="339"/>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sheetProtection sheet="1" objects="1" scenarios="1"/>
  <customSheetViews>
    <customSheetView guid="{F50C5479-5CC4-4FD7-8319-543D29E829F0}" showGridLines="0" fitToPage="1">
      <pane xSplit="2" ySplit="3" topLeftCell="C34" activePane="bottomRight" state="frozen"/>
      <selection pane="bottomRight" activeCell="C86" sqref="C86"/>
      <pageMargins left="0" right="0" top="0.78740157480314965" bottom="0.59055118110236227" header="0.51181102362204722" footer="0.43307086614173229"/>
      <printOptions horizontalCentered="1"/>
      <pageSetup paperSize="9" scale="73" orientation="portrait" r:id="rId1"/>
      <headerFooter alignWithMargins="0"/>
    </customSheetView>
  </customSheetViews>
  <mergeCells count="6">
    <mergeCell ref="J2:L2"/>
    <mergeCell ref="F2:I2"/>
    <mergeCell ref="A83:L83"/>
    <mergeCell ref="A78:L78"/>
    <mergeCell ref="A77:L77"/>
    <mergeCell ref="A79:L79"/>
  </mergeCells>
  <phoneticPr fontId="2" type="noConversion"/>
  <conditionalFormatting sqref="C85:L85">
    <cfRule type="cellIs" dxfId="3" priority="1" stopIfTrue="1" operator="notEqual">
      <formula>0</formula>
    </cfRule>
    <cfRule type="cellIs" dxfId="2" priority="2" stopIfTrue="1" operator="notEqual">
      <formula>0</formula>
    </cfRule>
  </conditionalFormatting>
  <printOptions horizontalCentered="1"/>
  <pageMargins left="0" right="0" top="0.78740157480314965" bottom="0.59055118110236227" header="0.51181102362204722" footer="0.43307086614173229"/>
  <pageSetup paperSize="9" scale="70"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X439"/>
  <sheetViews>
    <sheetView showGridLines="0" showZeros="0" zoomScaleNormal="100" workbookViewId="0">
      <selection activeCell="J326" sqref="J326"/>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3.5703125" style="149" customWidth="1"/>
    <col min="14" max="14" width="10.140625" style="149" customWidth="1"/>
    <col min="15" max="15" width="9.85546875" style="149" customWidth="1"/>
    <col min="16" max="16" width="9.5703125" style="149" customWidth="1"/>
    <col min="17" max="17" width="10" style="149" customWidth="1"/>
    <col min="18" max="18" width="10.140625" style="149" customWidth="1"/>
    <col min="19" max="19" width="9.85546875" style="149" customWidth="1"/>
    <col min="20" max="20" width="9.5703125" style="149" customWidth="1"/>
    <col min="21" max="21" width="10" style="149" customWidth="1"/>
    <col min="22" max="22" width="9.5703125" style="149" customWidth="1"/>
    <col min="23" max="24" width="9.85546875" style="149" customWidth="1"/>
    <col min="25" max="16384" width="9.140625" style="149"/>
  </cols>
  <sheetData>
    <row r="1" spans="1:24" s="179" customFormat="1" x14ac:dyDescent="0.2">
      <c r="A1" s="147" t="str">
        <f>muni&amp;" - "&amp;Approve5</f>
        <v>MP315 Thembisile Hani - Table A5 Budgeted Capital Expenditure by vote, standard classification and funding</v>
      </c>
      <c r="B1" s="147"/>
      <c r="C1" s="147"/>
      <c r="D1" s="147"/>
      <c r="E1" s="147"/>
      <c r="F1" s="147"/>
      <c r="G1" s="147"/>
      <c r="H1" s="147"/>
      <c r="I1" s="147"/>
      <c r="J1" s="147"/>
      <c r="K1" s="147"/>
      <c r="L1" s="147"/>
    </row>
    <row r="2" spans="1:24" ht="28.5" customHeight="1" x14ac:dyDescent="0.25">
      <c r="A2" s="970" t="str">
        <f>Vdesc</f>
        <v>Vote 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c r="N2" s="2785" t="str">
        <f>"Multi-year appropriation for "&amp;Head9&amp;
"
 in the "&amp;Head2A&amp;" Annual Budget"</f>
        <v>Multi-year appropriation for Budget Year 2015/16
 in the 2014/15 Annual Budget</v>
      </c>
      <c r="O2" s="2764"/>
      <c r="P2" s="2764"/>
      <c r="Q2" s="2765"/>
      <c r="R2" s="2785" t="str">
        <f>"Multi-year appropriation for "&amp;RIGHT(Head10,7)&amp;
"
 in the "&amp;Head2A&amp;" Annual Budget"</f>
        <v>Multi-year appropriation for 2016/17
 in the 2014/15 Annual Budget</v>
      </c>
      <c r="S2" s="2764"/>
      <c r="T2" s="2764"/>
      <c r="U2" s="2765"/>
      <c r="V2" s="2763" t="s">
        <v>2202</v>
      </c>
      <c r="W2" s="2764"/>
      <c r="X2" s="2765"/>
    </row>
    <row r="3" spans="1:24" ht="38.25" x14ac:dyDescent="0.25">
      <c r="A3" s="180" t="s">
        <v>662</v>
      </c>
      <c r="B3" s="290">
        <v>1</v>
      </c>
      <c r="C3" s="389" t="str">
        <f>Head5</f>
        <v>Audited Outcome</v>
      </c>
      <c r="D3" s="389" t="str">
        <f>Head5</f>
        <v>Audited Outcome</v>
      </c>
      <c r="E3" s="390" t="str">
        <f>Head5</f>
        <v>Audited Outcome</v>
      </c>
      <c r="F3" s="299" t="str">
        <f>Head6</f>
        <v>Original Budget</v>
      </c>
      <c r="G3" s="389" t="str">
        <f>Head7</f>
        <v>Adjusted Budget</v>
      </c>
      <c r="H3" s="390" t="str">
        <f>Head8</f>
        <v>Full Year Forecast</v>
      </c>
      <c r="I3" s="388" t="str">
        <f>Head5b</f>
        <v>Pre-audit outcome</v>
      </c>
      <c r="J3" s="299" t="str">
        <f>Head9</f>
        <v>Budget Year 2015/16</v>
      </c>
      <c r="K3" s="389" t="str">
        <f>Head10</f>
        <v>Budget Year +1 2016/17</v>
      </c>
      <c r="L3" s="390" t="str">
        <f>Head11</f>
        <v>Budget Year +2 2017/18</v>
      </c>
      <c r="N3" s="299" t="str">
        <f>"Appropriation for "&amp;RIGHT(Head9,7)</f>
        <v>Appropriation for 2015/16</v>
      </c>
      <c r="O3" s="389" t="str">
        <f>"Adjustments in "&amp;Head2A</f>
        <v>Adjustments in 2014/15</v>
      </c>
      <c r="P3" s="390" t="str">
        <f>"Downward adjustments for "&amp;RIGHT(Head9,7)</f>
        <v>Downward adjustments for 2015/16</v>
      </c>
      <c r="Q3" s="388" t="s">
        <v>2203</v>
      </c>
      <c r="R3" s="299" t="str">
        <f>"Appropriation for "&amp;RIGHT(Head9,7)</f>
        <v>Appropriation for 2015/16</v>
      </c>
      <c r="S3" s="389" t="str">
        <f>"Adjustments in "&amp;Head2A</f>
        <v>Adjustments in 2014/15</v>
      </c>
      <c r="T3" s="390" t="str">
        <f>"Downward adjustments for "&amp;RIGHT(Head9,7)</f>
        <v>Downward adjustments for 2015/16</v>
      </c>
      <c r="U3" s="2224" t="s">
        <v>2203</v>
      </c>
      <c r="V3" s="388" t="str">
        <f>Head9</f>
        <v>Budget Year 2015/16</v>
      </c>
      <c r="W3" s="389" t="str">
        <f>Head10</f>
        <v>Budget Year +1 2016/17</v>
      </c>
      <c r="X3" s="390" t="str">
        <f>Head11</f>
        <v>Budget Year +2 2017/18</v>
      </c>
    </row>
    <row r="4" spans="1:24" hidden="1" x14ac:dyDescent="0.25">
      <c r="A4" s="181" t="s">
        <v>1800</v>
      </c>
      <c r="B4" s="291"/>
      <c r="C4" s="311"/>
      <c r="D4" s="311"/>
      <c r="E4" s="312"/>
      <c r="F4" s="313"/>
      <c r="G4" s="311"/>
      <c r="H4" s="314"/>
      <c r="I4" s="312"/>
      <c r="J4" s="341"/>
      <c r="K4" s="311"/>
      <c r="L4" s="858"/>
      <c r="N4" s="313"/>
      <c r="O4" s="311"/>
      <c r="P4" s="314"/>
      <c r="Q4" s="312"/>
      <c r="R4" s="313"/>
      <c r="S4" s="311"/>
      <c r="T4" s="312"/>
      <c r="U4" s="419"/>
      <c r="V4" s="312"/>
      <c r="W4" s="311"/>
      <c r="X4" s="858"/>
    </row>
    <row r="5" spans="1:24" ht="11.25" hidden="1" customHeight="1" x14ac:dyDescent="0.25">
      <c r="A5" s="181" t="s">
        <v>385</v>
      </c>
      <c r="B5" s="293">
        <v>2</v>
      </c>
      <c r="C5" s="315"/>
      <c r="D5" s="315"/>
      <c r="E5" s="316"/>
      <c r="F5" s="317"/>
      <c r="G5" s="315"/>
      <c r="H5" s="318"/>
      <c r="I5" s="316"/>
      <c r="J5" s="405"/>
      <c r="K5" s="315"/>
      <c r="L5" s="988"/>
      <c r="N5" s="317"/>
      <c r="O5" s="315"/>
      <c r="P5" s="318"/>
      <c r="Q5" s="316"/>
      <c r="R5" s="317"/>
      <c r="S5" s="315"/>
      <c r="T5" s="316"/>
      <c r="U5" s="927"/>
      <c r="V5" s="316"/>
      <c r="W5" s="315"/>
      <c r="X5" s="988"/>
    </row>
    <row r="6" spans="1:24" ht="15" hidden="1" customHeight="1" x14ac:dyDescent="0.25">
      <c r="A6" s="1164" t="str">
        <f>'Org structure'!A2</f>
        <v>Vote 1 - 100 COUNCIL &amp; GENERAL</v>
      </c>
      <c r="B6" s="976"/>
      <c r="C6" s="971">
        <f>SUM(C7:C16)</f>
        <v>0</v>
      </c>
      <c r="D6" s="971">
        <f t="shared" ref="D6:L6" si="0">SUM(D7:D16)</f>
        <v>0</v>
      </c>
      <c r="E6" s="972">
        <f t="shared" si="0"/>
        <v>0</v>
      </c>
      <c r="F6" s="973">
        <f t="shared" si="0"/>
        <v>0</v>
      </c>
      <c r="G6" s="971">
        <f t="shared" si="0"/>
        <v>0</v>
      </c>
      <c r="H6" s="972">
        <f t="shared" si="0"/>
        <v>0</v>
      </c>
      <c r="I6" s="938">
        <f>SUM(I7:I16)</f>
        <v>0</v>
      </c>
      <c r="J6" s="975">
        <f t="shared" si="0"/>
        <v>0</v>
      </c>
      <c r="K6" s="971">
        <f t="shared" si="0"/>
        <v>0</v>
      </c>
      <c r="L6" s="2473">
        <f t="shared" si="0"/>
        <v>0</v>
      </c>
      <c r="M6" s="1167"/>
      <c r="N6" s="973">
        <f t="shared" ref="N6:U6" si="1">SUM(N7:N16)</f>
        <v>0</v>
      </c>
      <c r="O6" s="971">
        <f t="shared" si="1"/>
        <v>0</v>
      </c>
      <c r="P6" s="972">
        <f t="shared" si="1"/>
        <v>0</v>
      </c>
      <c r="Q6" s="972">
        <f t="shared" si="1"/>
        <v>0</v>
      </c>
      <c r="R6" s="973">
        <f t="shared" si="1"/>
        <v>0</v>
      </c>
      <c r="S6" s="971">
        <f t="shared" si="1"/>
        <v>0</v>
      </c>
      <c r="T6" s="2471">
        <f t="shared" si="1"/>
        <v>0</v>
      </c>
      <c r="U6" s="2467">
        <f t="shared" si="1"/>
        <v>0</v>
      </c>
      <c r="V6" s="974">
        <f>SUM(V7:V16)</f>
        <v>0</v>
      </c>
      <c r="W6" s="971">
        <f>SUM(W7:W16)</f>
        <v>0</v>
      </c>
      <c r="X6" s="2473">
        <f>SUM(X7:X16)</f>
        <v>0</v>
      </c>
    </row>
    <row r="7" spans="1:24" ht="11.25" hidden="1" customHeight="1" x14ac:dyDescent="0.25">
      <c r="A7" s="1165">
        <f>'Org structure'!E3</f>
        <v>0</v>
      </c>
      <c r="B7" s="293"/>
      <c r="C7" s="1621"/>
      <c r="D7" s="1621"/>
      <c r="E7" s="1628"/>
      <c r="F7" s="1623"/>
      <c r="G7" s="1621"/>
      <c r="H7" s="1622"/>
      <c r="I7" s="1624"/>
      <c r="J7" s="2474">
        <f>Q7+V7</f>
        <v>0</v>
      </c>
      <c r="K7" s="937">
        <f>U7+W7</f>
        <v>0</v>
      </c>
      <c r="L7" s="2475">
        <f>X7</f>
        <v>0</v>
      </c>
      <c r="M7" s="1166"/>
      <c r="N7" s="1623"/>
      <c r="O7" s="1621"/>
      <c r="P7" s="1622"/>
      <c r="Q7" s="973">
        <f>SUM(N7:P7)</f>
        <v>0</v>
      </c>
      <c r="R7" s="1623"/>
      <c r="S7" s="1621"/>
      <c r="T7" s="1624"/>
      <c r="U7" s="2467">
        <f>SUM(R7:T7)</f>
        <v>0</v>
      </c>
      <c r="V7" s="1624"/>
      <c r="W7" s="1621"/>
      <c r="X7" s="1626"/>
    </row>
    <row r="8" spans="1:24" ht="11.25" hidden="1" customHeight="1" x14ac:dyDescent="0.25">
      <c r="A8" s="1165">
        <f>'Org structure'!E4</f>
        <v>0</v>
      </c>
      <c r="B8" s="293"/>
      <c r="C8" s="1621"/>
      <c r="D8" s="1621"/>
      <c r="E8" s="1622"/>
      <c r="F8" s="1623"/>
      <c r="G8" s="1621"/>
      <c r="H8" s="1622"/>
      <c r="I8" s="1624"/>
      <c r="J8" s="2474">
        <f>Q8+V8</f>
        <v>0</v>
      </c>
      <c r="K8" s="937">
        <f>U8+W8</f>
        <v>0</v>
      </c>
      <c r="L8" s="2475">
        <f t="shared" ref="L8:L16" si="2">X8</f>
        <v>0</v>
      </c>
      <c r="M8" s="1166"/>
      <c r="N8" s="1623"/>
      <c r="O8" s="1621"/>
      <c r="P8" s="1622"/>
      <c r="Q8" s="973">
        <f t="shared" ref="Q8:Q16" si="3">SUM(N8:P8)</f>
        <v>0</v>
      </c>
      <c r="R8" s="1623"/>
      <c r="S8" s="1621"/>
      <c r="T8" s="1624"/>
      <c r="U8" s="2467">
        <f t="shared" ref="U8:U71" si="4">SUM(R8:T8)</f>
        <v>0</v>
      </c>
      <c r="V8" s="1624"/>
      <c r="W8" s="1621"/>
      <c r="X8" s="1626"/>
    </row>
    <row r="9" spans="1:24" ht="11.25" hidden="1" customHeight="1" x14ac:dyDescent="0.25">
      <c r="A9" s="1165">
        <f>'Org structure'!E5</f>
        <v>0</v>
      </c>
      <c r="B9" s="293"/>
      <c r="C9" s="1621"/>
      <c r="D9" s="1621"/>
      <c r="E9" s="1622"/>
      <c r="F9" s="1623"/>
      <c r="G9" s="1621"/>
      <c r="H9" s="1622"/>
      <c r="I9" s="1624"/>
      <c r="J9" s="2474">
        <f t="shared" ref="J9:J16" si="5">Q9+V9</f>
        <v>0</v>
      </c>
      <c r="K9" s="937">
        <f t="shared" ref="K9:K16" si="6">U9+W9</f>
        <v>0</v>
      </c>
      <c r="L9" s="2475">
        <f t="shared" si="2"/>
        <v>0</v>
      </c>
      <c r="M9" s="1166"/>
      <c r="N9" s="1623"/>
      <c r="O9" s="1621"/>
      <c r="P9" s="1622"/>
      <c r="Q9" s="973">
        <f t="shared" si="3"/>
        <v>0</v>
      </c>
      <c r="R9" s="1623"/>
      <c r="S9" s="1621"/>
      <c r="T9" s="1624"/>
      <c r="U9" s="2467">
        <f t="shared" si="4"/>
        <v>0</v>
      </c>
      <c r="V9" s="1624"/>
      <c r="W9" s="1621"/>
      <c r="X9" s="1626"/>
    </row>
    <row r="10" spans="1:24" ht="11.25" hidden="1" customHeight="1" x14ac:dyDescent="0.25">
      <c r="A10" s="1165">
        <f>'Org structure'!E6</f>
        <v>0</v>
      </c>
      <c r="B10" s="293"/>
      <c r="C10" s="1621"/>
      <c r="D10" s="1621"/>
      <c r="E10" s="1622"/>
      <c r="F10" s="1623"/>
      <c r="G10" s="1621"/>
      <c r="H10" s="1622"/>
      <c r="I10" s="1624"/>
      <c r="J10" s="2474">
        <f t="shared" si="5"/>
        <v>0</v>
      </c>
      <c r="K10" s="937">
        <f t="shared" si="6"/>
        <v>0</v>
      </c>
      <c r="L10" s="2475">
        <f t="shared" si="2"/>
        <v>0</v>
      </c>
      <c r="M10" s="1166"/>
      <c r="N10" s="1623"/>
      <c r="O10" s="1621"/>
      <c r="P10" s="1622"/>
      <c r="Q10" s="973">
        <f t="shared" si="3"/>
        <v>0</v>
      </c>
      <c r="R10" s="1623"/>
      <c r="S10" s="1621"/>
      <c r="T10" s="1624"/>
      <c r="U10" s="2467">
        <f t="shared" si="4"/>
        <v>0</v>
      </c>
      <c r="V10" s="1624"/>
      <c r="W10" s="1621"/>
      <c r="X10" s="1626"/>
    </row>
    <row r="11" spans="1:24" ht="11.25" hidden="1" customHeight="1" x14ac:dyDescent="0.25">
      <c r="A11" s="1165">
        <f>'Org structure'!E7</f>
        <v>0</v>
      </c>
      <c r="B11" s="293"/>
      <c r="C11" s="1621"/>
      <c r="D11" s="1621"/>
      <c r="E11" s="1622"/>
      <c r="F11" s="1623"/>
      <c r="G11" s="1621"/>
      <c r="H11" s="1622"/>
      <c r="I11" s="1624"/>
      <c r="J11" s="2474">
        <f t="shared" si="5"/>
        <v>0</v>
      </c>
      <c r="K11" s="937">
        <f t="shared" si="6"/>
        <v>0</v>
      </c>
      <c r="L11" s="2475">
        <f>X11</f>
        <v>0</v>
      </c>
      <c r="M11" s="1166"/>
      <c r="N11" s="1623"/>
      <c r="O11" s="1621"/>
      <c r="P11" s="1622"/>
      <c r="Q11" s="973">
        <f t="shared" si="3"/>
        <v>0</v>
      </c>
      <c r="R11" s="1623"/>
      <c r="S11" s="1621"/>
      <c r="T11" s="1624"/>
      <c r="U11" s="2467">
        <f t="shared" si="4"/>
        <v>0</v>
      </c>
      <c r="V11" s="1624"/>
      <c r="W11" s="1621"/>
      <c r="X11" s="1626"/>
    </row>
    <row r="12" spans="1:24" ht="11.25" hidden="1" customHeight="1" x14ac:dyDescent="0.25">
      <c r="A12" s="1165">
        <f>'Org structure'!E8</f>
        <v>0</v>
      </c>
      <c r="B12" s="293"/>
      <c r="C12" s="1621"/>
      <c r="D12" s="1621"/>
      <c r="E12" s="1622"/>
      <c r="F12" s="1623"/>
      <c r="G12" s="1621"/>
      <c r="H12" s="1622"/>
      <c r="I12" s="1624"/>
      <c r="J12" s="2474">
        <f t="shared" si="5"/>
        <v>0</v>
      </c>
      <c r="K12" s="937">
        <f t="shared" si="6"/>
        <v>0</v>
      </c>
      <c r="L12" s="2475">
        <f t="shared" si="2"/>
        <v>0</v>
      </c>
      <c r="M12" s="1166"/>
      <c r="N12" s="1623"/>
      <c r="O12" s="1621"/>
      <c r="P12" s="1622"/>
      <c r="Q12" s="973">
        <f t="shared" si="3"/>
        <v>0</v>
      </c>
      <c r="R12" s="1623"/>
      <c r="S12" s="1621"/>
      <c r="T12" s="1624"/>
      <c r="U12" s="2467">
        <f t="shared" si="4"/>
        <v>0</v>
      </c>
      <c r="V12" s="1624"/>
      <c r="W12" s="1621"/>
      <c r="X12" s="1626"/>
    </row>
    <row r="13" spans="1:24" ht="11.25" hidden="1" customHeight="1" x14ac:dyDescent="0.25">
      <c r="A13" s="1165">
        <f>'Org structure'!E9</f>
        <v>0</v>
      </c>
      <c r="B13" s="293"/>
      <c r="C13" s="1621"/>
      <c r="D13" s="1621"/>
      <c r="E13" s="1622"/>
      <c r="F13" s="1623"/>
      <c r="G13" s="1621"/>
      <c r="H13" s="1622"/>
      <c r="I13" s="1624"/>
      <c r="J13" s="2474">
        <f t="shared" si="5"/>
        <v>0</v>
      </c>
      <c r="K13" s="937">
        <f t="shared" si="6"/>
        <v>0</v>
      </c>
      <c r="L13" s="2475">
        <f t="shared" si="2"/>
        <v>0</v>
      </c>
      <c r="M13" s="1166"/>
      <c r="N13" s="1623"/>
      <c r="O13" s="1621"/>
      <c r="P13" s="1622"/>
      <c r="Q13" s="973">
        <f t="shared" si="3"/>
        <v>0</v>
      </c>
      <c r="R13" s="1623"/>
      <c r="S13" s="1621"/>
      <c r="T13" s="1624"/>
      <c r="U13" s="2467">
        <f t="shared" si="4"/>
        <v>0</v>
      </c>
      <c r="V13" s="1624"/>
      <c r="W13" s="1621"/>
      <c r="X13" s="1626"/>
    </row>
    <row r="14" spans="1:24" ht="11.25" hidden="1" customHeight="1" x14ac:dyDescent="0.25">
      <c r="A14" s="1165">
        <f>'Org structure'!E10</f>
        <v>0</v>
      </c>
      <c r="B14" s="293"/>
      <c r="C14" s="1621"/>
      <c r="D14" s="1621"/>
      <c r="E14" s="1622"/>
      <c r="F14" s="1623"/>
      <c r="G14" s="1621"/>
      <c r="H14" s="1622"/>
      <c r="I14" s="1624"/>
      <c r="J14" s="2474">
        <f t="shared" si="5"/>
        <v>0</v>
      </c>
      <c r="K14" s="937">
        <f t="shared" si="6"/>
        <v>0</v>
      </c>
      <c r="L14" s="2475">
        <f t="shared" si="2"/>
        <v>0</v>
      </c>
      <c r="M14" s="1166"/>
      <c r="N14" s="1623"/>
      <c r="O14" s="1621"/>
      <c r="P14" s="1622"/>
      <c r="Q14" s="973">
        <f t="shared" si="3"/>
        <v>0</v>
      </c>
      <c r="R14" s="1623"/>
      <c r="S14" s="1621"/>
      <c r="T14" s="1624"/>
      <c r="U14" s="2467">
        <f t="shared" si="4"/>
        <v>0</v>
      </c>
      <c r="V14" s="1624"/>
      <c r="W14" s="1621"/>
      <c r="X14" s="1626"/>
    </row>
    <row r="15" spans="1:24" ht="11.25" hidden="1" customHeight="1" x14ac:dyDescent="0.25">
      <c r="A15" s="1165">
        <f>'Org structure'!E11</f>
        <v>0</v>
      </c>
      <c r="B15" s="293"/>
      <c r="C15" s="1621"/>
      <c r="D15" s="1621"/>
      <c r="E15" s="1622"/>
      <c r="F15" s="1623"/>
      <c r="G15" s="1621"/>
      <c r="H15" s="1622"/>
      <c r="I15" s="1624"/>
      <c r="J15" s="2474">
        <f t="shared" si="5"/>
        <v>0</v>
      </c>
      <c r="K15" s="937">
        <f t="shared" si="6"/>
        <v>0</v>
      </c>
      <c r="L15" s="2475">
        <f t="shared" si="2"/>
        <v>0</v>
      </c>
      <c r="M15" s="1166"/>
      <c r="N15" s="1623"/>
      <c r="O15" s="1621"/>
      <c r="P15" s="1622"/>
      <c r="Q15" s="973">
        <f t="shared" si="3"/>
        <v>0</v>
      </c>
      <c r="R15" s="1623"/>
      <c r="S15" s="1621"/>
      <c r="T15" s="1624"/>
      <c r="U15" s="2467">
        <f t="shared" si="4"/>
        <v>0</v>
      </c>
      <c r="V15" s="1624"/>
      <c r="W15" s="1621"/>
      <c r="X15" s="1626"/>
    </row>
    <row r="16" spans="1:24" ht="11.25" hidden="1" customHeight="1" x14ac:dyDescent="0.25">
      <c r="A16" s="1165">
        <f>'Org structure'!E12</f>
        <v>0</v>
      </c>
      <c r="B16" s="293"/>
      <c r="C16" s="1621"/>
      <c r="D16" s="1621"/>
      <c r="E16" s="1622"/>
      <c r="F16" s="1623"/>
      <c r="G16" s="1621"/>
      <c r="H16" s="1622"/>
      <c r="I16" s="1624"/>
      <c r="J16" s="2474">
        <f t="shared" si="5"/>
        <v>0</v>
      </c>
      <c r="K16" s="937">
        <f t="shared" si="6"/>
        <v>0</v>
      </c>
      <c r="L16" s="2475">
        <f t="shared" si="2"/>
        <v>0</v>
      </c>
      <c r="M16" s="320"/>
      <c r="N16" s="1623"/>
      <c r="O16" s="1621"/>
      <c r="P16" s="1622"/>
      <c r="Q16" s="973">
        <f t="shared" si="3"/>
        <v>0</v>
      </c>
      <c r="R16" s="1623"/>
      <c r="S16" s="1621"/>
      <c r="T16" s="1624"/>
      <c r="U16" s="2467">
        <f t="shared" si="4"/>
        <v>0</v>
      </c>
      <c r="V16" s="1624"/>
      <c r="W16" s="1621"/>
      <c r="X16" s="1626"/>
    </row>
    <row r="17" spans="1:24" ht="15" hidden="1" customHeight="1" x14ac:dyDescent="0.25">
      <c r="A17" s="1164" t="str">
        <f>'Org structure'!A3</f>
        <v>Vote 2 - 102 MUNICIPAL MANAGER</v>
      </c>
      <c r="B17" s="976"/>
      <c r="C17" s="971">
        <f>SUM(C18:C27)</f>
        <v>0</v>
      </c>
      <c r="D17" s="971">
        <f t="shared" ref="D17:L17" si="7">SUM(D18:D27)</f>
        <v>0</v>
      </c>
      <c r="E17" s="972">
        <f t="shared" si="7"/>
        <v>0</v>
      </c>
      <c r="F17" s="973">
        <f t="shared" si="7"/>
        <v>0</v>
      </c>
      <c r="G17" s="971">
        <f t="shared" si="7"/>
        <v>0</v>
      </c>
      <c r="H17" s="972">
        <f t="shared" si="7"/>
        <v>0</v>
      </c>
      <c r="I17" s="974">
        <f>SUM(I18:I27)</f>
        <v>0</v>
      </c>
      <c r="J17" s="2474">
        <f t="shared" si="7"/>
        <v>0</v>
      </c>
      <c r="K17" s="937">
        <f t="shared" si="7"/>
        <v>0</v>
      </c>
      <c r="L17" s="2475">
        <f t="shared" si="7"/>
        <v>0</v>
      </c>
      <c r="M17" s="1168"/>
      <c r="N17" s="973">
        <f t="shared" ref="N17:X17" si="8">SUM(N18:N27)</f>
        <v>0</v>
      </c>
      <c r="O17" s="971">
        <f t="shared" si="8"/>
        <v>0</v>
      </c>
      <c r="P17" s="972">
        <f t="shared" si="8"/>
        <v>0</v>
      </c>
      <c r="Q17" s="973">
        <f t="shared" si="8"/>
        <v>0</v>
      </c>
      <c r="R17" s="973">
        <f t="shared" si="8"/>
        <v>0</v>
      </c>
      <c r="S17" s="971">
        <f t="shared" si="8"/>
        <v>0</v>
      </c>
      <c r="T17" s="2471">
        <f t="shared" si="8"/>
        <v>0</v>
      </c>
      <c r="U17" s="2467">
        <f t="shared" si="8"/>
        <v>0</v>
      </c>
      <c r="V17" s="2472">
        <f t="shared" si="8"/>
        <v>0</v>
      </c>
      <c r="W17" s="971">
        <f t="shared" si="8"/>
        <v>0</v>
      </c>
      <c r="X17" s="2473">
        <f t="shared" si="8"/>
        <v>0</v>
      </c>
    </row>
    <row r="18" spans="1:24" ht="11.25" hidden="1" customHeight="1" x14ac:dyDescent="0.25">
      <c r="A18" s="1165" t="str">
        <f>'Org structure'!E14</f>
        <v>2.1 - [Name of sub-vote]</v>
      </c>
      <c r="B18" s="293"/>
      <c r="C18" s="1621"/>
      <c r="D18" s="1621"/>
      <c r="E18" s="1622"/>
      <c r="F18" s="1623"/>
      <c r="G18" s="1621"/>
      <c r="H18" s="1622"/>
      <c r="I18" s="1624"/>
      <c r="J18" s="2474">
        <f t="shared" ref="J18:J27" si="9">Q18+V18</f>
        <v>0</v>
      </c>
      <c r="K18" s="937">
        <f t="shared" ref="K18:K27" si="10">U18+W18</f>
        <v>0</v>
      </c>
      <c r="L18" s="2475">
        <f t="shared" ref="L18:L27" si="11">X18</f>
        <v>0</v>
      </c>
      <c r="M18" s="1166"/>
      <c r="N18" s="1623"/>
      <c r="O18" s="1621"/>
      <c r="P18" s="1622"/>
      <c r="Q18" s="973">
        <f t="shared" ref="Q18:Q27" si="12">SUM(N18:P18)</f>
        <v>0</v>
      </c>
      <c r="R18" s="1623"/>
      <c r="S18" s="1621"/>
      <c r="T18" s="1624"/>
      <c r="U18" s="2467">
        <f t="shared" si="4"/>
        <v>0</v>
      </c>
      <c r="V18" s="1624"/>
      <c r="W18" s="1621"/>
      <c r="X18" s="1626"/>
    </row>
    <row r="19" spans="1:24" ht="11.25" hidden="1" customHeight="1" x14ac:dyDescent="0.25">
      <c r="A19" s="1165">
        <f>'Org structure'!E15</f>
        <v>0</v>
      </c>
      <c r="B19" s="293"/>
      <c r="C19" s="1621"/>
      <c r="D19" s="1621"/>
      <c r="E19" s="1622"/>
      <c r="F19" s="1623"/>
      <c r="G19" s="1621"/>
      <c r="H19" s="1622"/>
      <c r="I19" s="1624"/>
      <c r="J19" s="2474">
        <f>Q19+V19</f>
        <v>0</v>
      </c>
      <c r="K19" s="937">
        <f>U19+W19</f>
        <v>0</v>
      </c>
      <c r="L19" s="2475">
        <f t="shared" si="11"/>
        <v>0</v>
      </c>
      <c r="M19" s="1166"/>
      <c r="N19" s="1623"/>
      <c r="O19" s="1621"/>
      <c r="P19" s="1622"/>
      <c r="Q19" s="973">
        <f t="shared" si="12"/>
        <v>0</v>
      </c>
      <c r="R19" s="1623"/>
      <c r="S19" s="1621"/>
      <c r="T19" s="1624"/>
      <c r="U19" s="2467">
        <f t="shared" si="4"/>
        <v>0</v>
      </c>
      <c r="V19" s="1624"/>
      <c r="W19" s="1621"/>
      <c r="X19" s="1626"/>
    </row>
    <row r="20" spans="1:24" ht="11.25" hidden="1" customHeight="1" x14ac:dyDescent="0.25">
      <c r="A20" s="1165">
        <f>'Org structure'!E16</f>
        <v>0</v>
      </c>
      <c r="B20" s="293"/>
      <c r="C20" s="1621"/>
      <c r="D20" s="1621"/>
      <c r="E20" s="1622"/>
      <c r="F20" s="1623"/>
      <c r="G20" s="1621"/>
      <c r="H20" s="1622"/>
      <c r="I20" s="1624"/>
      <c r="J20" s="2474">
        <f t="shared" si="9"/>
        <v>0</v>
      </c>
      <c r="K20" s="937">
        <f t="shared" si="10"/>
        <v>0</v>
      </c>
      <c r="L20" s="2475">
        <f t="shared" si="11"/>
        <v>0</v>
      </c>
      <c r="M20" s="1166"/>
      <c r="N20" s="1623"/>
      <c r="O20" s="1621"/>
      <c r="P20" s="1622"/>
      <c r="Q20" s="973">
        <f t="shared" si="12"/>
        <v>0</v>
      </c>
      <c r="R20" s="1623"/>
      <c r="S20" s="1621"/>
      <c r="T20" s="1624"/>
      <c r="U20" s="2467">
        <f t="shared" si="4"/>
        <v>0</v>
      </c>
      <c r="V20" s="1624"/>
      <c r="W20" s="1621"/>
      <c r="X20" s="1626"/>
    </row>
    <row r="21" spans="1:24" ht="11.25" hidden="1" customHeight="1" x14ac:dyDescent="0.25">
      <c r="A21" s="1165">
        <f>'Org structure'!E17</f>
        <v>0</v>
      </c>
      <c r="B21" s="293"/>
      <c r="C21" s="1621"/>
      <c r="D21" s="1621"/>
      <c r="E21" s="1622"/>
      <c r="F21" s="1623"/>
      <c r="G21" s="1621"/>
      <c r="H21" s="1622"/>
      <c r="I21" s="1624"/>
      <c r="J21" s="2474">
        <f t="shared" si="9"/>
        <v>0</v>
      </c>
      <c r="K21" s="937">
        <f>U21+W21</f>
        <v>0</v>
      </c>
      <c r="L21" s="2475">
        <f t="shared" si="11"/>
        <v>0</v>
      </c>
      <c r="M21" s="1166"/>
      <c r="N21" s="1623"/>
      <c r="O21" s="1621"/>
      <c r="P21" s="1622"/>
      <c r="Q21" s="973">
        <f t="shared" si="12"/>
        <v>0</v>
      </c>
      <c r="R21" s="1623"/>
      <c r="S21" s="1621"/>
      <c r="T21" s="1624"/>
      <c r="U21" s="2467">
        <f t="shared" si="4"/>
        <v>0</v>
      </c>
      <c r="V21" s="1624"/>
      <c r="W21" s="1621"/>
      <c r="X21" s="1626"/>
    </row>
    <row r="22" spans="1:24" ht="11.25" hidden="1" customHeight="1" x14ac:dyDescent="0.25">
      <c r="A22" s="1165">
        <f>'Org structure'!E18</f>
        <v>0</v>
      </c>
      <c r="B22" s="293"/>
      <c r="C22" s="1621"/>
      <c r="D22" s="1621"/>
      <c r="E22" s="1622"/>
      <c r="F22" s="1623"/>
      <c r="G22" s="1621"/>
      <c r="H22" s="1622"/>
      <c r="I22" s="1624"/>
      <c r="J22" s="2474">
        <f t="shared" si="9"/>
        <v>0</v>
      </c>
      <c r="K22" s="937">
        <f t="shared" si="10"/>
        <v>0</v>
      </c>
      <c r="L22" s="2475">
        <f t="shared" si="11"/>
        <v>0</v>
      </c>
      <c r="M22" s="1166"/>
      <c r="N22" s="1623"/>
      <c r="O22" s="1621"/>
      <c r="P22" s="1622"/>
      <c r="Q22" s="973">
        <f t="shared" si="12"/>
        <v>0</v>
      </c>
      <c r="R22" s="1623"/>
      <c r="S22" s="1621"/>
      <c r="T22" s="1624"/>
      <c r="U22" s="2467">
        <f t="shared" si="4"/>
        <v>0</v>
      </c>
      <c r="V22" s="1624"/>
      <c r="W22" s="1621"/>
      <c r="X22" s="1626"/>
    </row>
    <row r="23" spans="1:24" ht="11.25" hidden="1" customHeight="1" x14ac:dyDescent="0.25">
      <c r="A23" s="1165">
        <f>'Org structure'!E19</f>
        <v>0</v>
      </c>
      <c r="B23" s="293"/>
      <c r="C23" s="1621"/>
      <c r="D23" s="1621"/>
      <c r="E23" s="1622"/>
      <c r="F23" s="1623"/>
      <c r="G23" s="1621"/>
      <c r="H23" s="1622"/>
      <c r="I23" s="1624"/>
      <c r="J23" s="2474">
        <f t="shared" si="9"/>
        <v>0</v>
      </c>
      <c r="K23" s="937">
        <f t="shared" si="10"/>
        <v>0</v>
      </c>
      <c r="L23" s="2475">
        <f t="shared" si="11"/>
        <v>0</v>
      </c>
      <c r="M23" s="1166"/>
      <c r="N23" s="1623"/>
      <c r="O23" s="1621"/>
      <c r="P23" s="1622"/>
      <c r="Q23" s="973">
        <f t="shared" si="12"/>
        <v>0</v>
      </c>
      <c r="R23" s="1623"/>
      <c r="S23" s="1621"/>
      <c r="T23" s="1624"/>
      <c r="U23" s="2467">
        <f t="shared" si="4"/>
        <v>0</v>
      </c>
      <c r="V23" s="1624"/>
      <c r="W23" s="1621"/>
      <c r="X23" s="1626"/>
    </row>
    <row r="24" spans="1:24" ht="11.25" hidden="1" customHeight="1" x14ac:dyDescent="0.25">
      <c r="A24" s="1165">
        <f>'Org structure'!E20</f>
        <v>0</v>
      </c>
      <c r="B24" s="293"/>
      <c r="C24" s="1621"/>
      <c r="D24" s="1621"/>
      <c r="E24" s="1622"/>
      <c r="F24" s="1623"/>
      <c r="G24" s="1621"/>
      <c r="H24" s="1622"/>
      <c r="I24" s="1624"/>
      <c r="J24" s="2474">
        <f t="shared" si="9"/>
        <v>0</v>
      </c>
      <c r="K24" s="937">
        <f t="shared" si="10"/>
        <v>0</v>
      </c>
      <c r="L24" s="2475">
        <f t="shared" si="11"/>
        <v>0</v>
      </c>
      <c r="M24" s="1166"/>
      <c r="N24" s="1623"/>
      <c r="O24" s="1621"/>
      <c r="P24" s="1622"/>
      <c r="Q24" s="973">
        <f t="shared" si="12"/>
        <v>0</v>
      </c>
      <c r="R24" s="1623"/>
      <c r="S24" s="1621"/>
      <c r="T24" s="1624"/>
      <c r="U24" s="2467">
        <f t="shared" si="4"/>
        <v>0</v>
      </c>
      <c r="V24" s="1624"/>
      <c r="W24" s="1621"/>
      <c r="X24" s="1626"/>
    </row>
    <row r="25" spans="1:24" ht="11.25" hidden="1" customHeight="1" x14ac:dyDescent="0.25">
      <c r="A25" s="1165">
        <f>'Org structure'!E21</f>
        <v>0</v>
      </c>
      <c r="B25" s="293"/>
      <c r="C25" s="1621"/>
      <c r="D25" s="1621"/>
      <c r="E25" s="1622"/>
      <c r="F25" s="1623"/>
      <c r="G25" s="1621"/>
      <c r="H25" s="1622"/>
      <c r="I25" s="1624"/>
      <c r="J25" s="2474">
        <f t="shared" si="9"/>
        <v>0</v>
      </c>
      <c r="K25" s="937">
        <f t="shared" si="10"/>
        <v>0</v>
      </c>
      <c r="L25" s="2475">
        <f t="shared" si="11"/>
        <v>0</v>
      </c>
      <c r="M25" s="1166"/>
      <c r="N25" s="1623"/>
      <c r="O25" s="1621"/>
      <c r="P25" s="1622"/>
      <c r="Q25" s="973">
        <f t="shared" si="12"/>
        <v>0</v>
      </c>
      <c r="R25" s="1623"/>
      <c r="S25" s="1621"/>
      <c r="T25" s="1624"/>
      <c r="U25" s="2467">
        <f t="shared" si="4"/>
        <v>0</v>
      </c>
      <c r="V25" s="1624"/>
      <c r="W25" s="1621"/>
      <c r="X25" s="1626"/>
    </row>
    <row r="26" spans="1:24" ht="11.25" hidden="1" customHeight="1" x14ac:dyDescent="0.25">
      <c r="A26" s="1165">
        <f>'Org structure'!E22</f>
        <v>0</v>
      </c>
      <c r="B26" s="293"/>
      <c r="C26" s="1621"/>
      <c r="D26" s="1621"/>
      <c r="E26" s="1622"/>
      <c r="F26" s="1623"/>
      <c r="G26" s="1621"/>
      <c r="H26" s="1622"/>
      <c r="I26" s="1624"/>
      <c r="J26" s="2474">
        <f t="shared" si="9"/>
        <v>0</v>
      </c>
      <c r="K26" s="937">
        <f t="shared" si="10"/>
        <v>0</v>
      </c>
      <c r="L26" s="2475">
        <f t="shared" si="11"/>
        <v>0</v>
      </c>
      <c r="M26" s="1166"/>
      <c r="N26" s="1623"/>
      <c r="O26" s="1621"/>
      <c r="P26" s="1622"/>
      <c r="Q26" s="973">
        <f t="shared" si="12"/>
        <v>0</v>
      </c>
      <c r="R26" s="1623"/>
      <c r="S26" s="1621"/>
      <c r="T26" s="1624"/>
      <c r="U26" s="2467">
        <f t="shared" si="4"/>
        <v>0</v>
      </c>
      <c r="V26" s="1624"/>
      <c r="W26" s="1621"/>
      <c r="X26" s="1626"/>
    </row>
    <row r="27" spans="1:24" ht="11.25" hidden="1" customHeight="1" x14ac:dyDescent="0.25">
      <c r="A27" s="1165">
        <f>'Org structure'!E23</f>
        <v>0</v>
      </c>
      <c r="B27" s="293"/>
      <c r="C27" s="1621"/>
      <c r="D27" s="1621"/>
      <c r="E27" s="1622"/>
      <c r="F27" s="1623"/>
      <c r="G27" s="1621"/>
      <c r="H27" s="1622"/>
      <c r="I27" s="1624"/>
      <c r="J27" s="2474">
        <f t="shared" si="9"/>
        <v>0</v>
      </c>
      <c r="K27" s="937">
        <f t="shared" si="10"/>
        <v>0</v>
      </c>
      <c r="L27" s="2475">
        <f t="shared" si="11"/>
        <v>0</v>
      </c>
      <c r="M27" s="1166"/>
      <c r="N27" s="1623"/>
      <c r="O27" s="1621"/>
      <c r="P27" s="1622"/>
      <c r="Q27" s="973">
        <f t="shared" si="12"/>
        <v>0</v>
      </c>
      <c r="R27" s="1623"/>
      <c r="S27" s="1621"/>
      <c r="T27" s="1624"/>
      <c r="U27" s="2467">
        <f t="shared" si="4"/>
        <v>0</v>
      </c>
      <c r="V27" s="1624"/>
      <c r="W27" s="1621"/>
      <c r="X27" s="1626"/>
    </row>
    <row r="28" spans="1:24" ht="15" hidden="1" customHeight="1" x14ac:dyDescent="0.25">
      <c r="A28" s="1164" t="str">
        <f>'Org structure'!A4</f>
        <v>Vote 3 - 103 PLANNING and DEVELOPMENT</v>
      </c>
      <c r="B28" s="976"/>
      <c r="C28" s="971">
        <f>SUM(C29:C38)</f>
        <v>0</v>
      </c>
      <c r="D28" s="971">
        <f t="shared" ref="D28:L28" si="13">SUM(D29:D38)</f>
        <v>0</v>
      </c>
      <c r="E28" s="972">
        <f t="shared" si="13"/>
        <v>0</v>
      </c>
      <c r="F28" s="973">
        <f t="shared" si="13"/>
        <v>0</v>
      </c>
      <c r="G28" s="971">
        <f t="shared" si="13"/>
        <v>0</v>
      </c>
      <c r="H28" s="972">
        <f t="shared" si="13"/>
        <v>0</v>
      </c>
      <c r="I28" s="974">
        <f>SUM(I29:I38)</f>
        <v>0</v>
      </c>
      <c r="J28" s="2474">
        <f t="shared" si="13"/>
        <v>0</v>
      </c>
      <c r="K28" s="937">
        <f t="shared" si="13"/>
        <v>0</v>
      </c>
      <c r="L28" s="2475">
        <f t="shared" si="13"/>
        <v>0</v>
      </c>
      <c r="M28" s="1166"/>
      <c r="N28" s="973">
        <f t="shared" ref="N28:X28" si="14">SUM(N29:N38)</f>
        <v>0</v>
      </c>
      <c r="O28" s="971">
        <f t="shared" si="14"/>
        <v>0</v>
      </c>
      <c r="P28" s="972">
        <f t="shared" si="14"/>
        <v>0</v>
      </c>
      <c r="Q28" s="973">
        <f t="shared" si="14"/>
        <v>0</v>
      </c>
      <c r="R28" s="973">
        <f t="shared" si="14"/>
        <v>0</v>
      </c>
      <c r="S28" s="971">
        <f t="shared" si="14"/>
        <v>0</v>
      </c>
      <c r="T28" s="2471">
        <f t="shared" si="14"/>
        <v>0</v>
      </c>
      <c r="U28" s="2467">
        <f t="shared" si="14"/>
        <v>0</v>
      </c>
      <c r="V28" s="2472">
        <f t="shared" si="14"/>
        <v>0</v>
      </c>
      <c r="W28" s="971">
        <f t="shared" si="14"/>
        <v>0</v>
      </c>
      <c r="X28" s="2473">
        <f t="shared" si="14"/>
        <v>0</v>
      </c>
    </row>
    <row r="29" spans="1:24" ht="11.25" hidden="1" customHeight="1" x14ac:dyDescent="0.25">
      <c r="A29" s="1165" t="str">
        <f>'Org structure'!E25</f>
        <v>3.1 - [Name of sub-vote]</v>
      </c>
      <c r="B29" s="293"/>
      <c r="C29" s="1621"/>
      <c r="D29" s="1621"/>
      <c r="E29" s="1622"/>
      <c r="F29" s="1623"/>
      <c r="G29" s="1621"/>
      <c r="H29" s="1622"/>
      <c r="I29" s="1624"/>
      <c r="J29" s="2474">
        <f t="shared" ref="J29:J38" si="15">Q29+V29</f>
        <v>0</v>
      </c>
      <c r="K29" s="937">
        <f t="shared" ref="K29:K38" si="16">U29+W29</f>
        <v>0</v>
      </c>
      <c r="L29" s="2475">
        <f t="shared" ref="L29:L38" si="17">X29</f>
        <v>0</v>
      </c>
      <c r="M29" s="1166"/>
      <c r="N29" s="1623"/>
      <c r="O29" s="1621"/>
      <c r="P29" s="1622"/>
      <c r="Q29" s="973">
        <f t="shared" ref="Q29:Q38" si="18">SUM(N29:P29)</f>
        <v>0</v>
      </c>
      <c r="R29" s="1623"/>
      <c r="S29" s="1621"/>
      <c r="T29" s="1624"/>
      <c r="U29" s="2467">
        <f t="shared" si="4"/>
        <v>0</v>
      </c>
      <c r="V29" s="1624"/>
      <c r="W29" s="1621"/>
      <c r="X29" s="1626"/>
    </row>
    <row r="30" spans="1:24" ht="11.25" hidden="1" customHeight="1" x14ac:dyDescent="0.25">
      <c r="A30" s="1165">
        <f>'Org structure'!E26</f>
        <v>0</v>
      </c>
      <c r="B30" s="293"/>
      <c r="C30" s="1621"/>
      <c r="D30" s="1621"/>
      <c r="E30" s="1622"/>
      <c r="F30" s="1623"/>
      <c r="G30" s="1621"/>
      <c r="H30" s="1622"/>
      <c r="I30" s="1624"/>
      <c r="J30" s="2474">
        <f t="shared" si="15"/>
        <v>0</v>
      </c>
      <c r="K30" s="937">
        <f t="shared" si="16"/>
        <v>0</v>
      </c>
      <c r="L30" s="2475">
        <f t="shared" si="17"/>
        <v>0</v>
      </c>
      <c r="M30" s="1166"/>
      <c r="N30" s="1623"/>
      <c r="O30" s="1621"/>
      <c r="P30" s="1622"/>
      <c r="Q30" s="973">
        <f t="shared" si="18"/>
        <v>0</v>
      </c>
      <c r="R30" s="1623"/>
      <c r="S30" s="1621"/>
      <c r="T30" s="1624"/>
      <c r="U30" s="2467">
        <f t="shared" si="4"/>
        <v>0</v>
      </c>
      <c r="V30" s="1624"/>
      <c r="W30" s="1621"/>
      <c r="X30" s="1626"/>
    </row>
    <row r="31" spans="1:24" ht="11.25" hidden="1" customHeight="1" x14ac:dyDescent="0.25">
      <c r="A31" s="1165">
        <f>'Org structure'!E27</f>
        <v>0</v>
      </c>
      <c r="B31" s="293"/>
      <c r="C31" s="1621"/>
      <c r="D31" s="1621"/>
      <c r="E31" s="1622"/>
      <c r="F31" s="1623"/>
      <c r="G31" s="1621"/>
      <c r="H31" s="1622"/>
      <c r="I31" s="1624"/>
      <c r="J31" s="2474">
        <f t="shared" si="15"/>
        <v>0</v>
      </c>
      <c r="K31" s="937">
        <f t="shared" si="16"/>
        <v>0</v>
      </c>
      <c r="L31" s="2475">
        <f t="shared" si="17"/>
        <v>0</v>
      </c>
      <c r="M31" s="1166"/>
      <c r="N31" s="1623"/>
      <c r="O31" s="1621"/>
      <c r="P31" s="1622"/>
      <c r="Q31" s="973">
        <f t="shared" si="18"/>
        <v>0</v>
      </c>
      <c r="R31" s="1623"/>
      <c r="S31" s="1621"/>
      <c r="T31" s="1624"/>
      <c r="U31" s="2467">
        <f>SUM(R31:T31)</f>
        <v>0</v>
      </c>
      <c r="V31" s="1624"/>
      <c r="W31" s="1621"/>
      <c r="X31" s="1626"/>
    </row>
    <row r="32" spans="1:24" ht="11.25" hidden="1" customHeight="1" x14ac:dyDescent="0.25">
      <c r="A32" s="1165">
        <f>'Org structure'!E28</f>
        <v>0</v>
      </c>
      <c r="B32" s="293"/>
      <c r="C32" s="1621"/>
      <c r="D32" s="1621"/>
      <c r="E32" s="1622"/>
      <c r="F32" s="1623"/>
      <c r="G32" s="1621"/>
      <c r="H32" s="1622"/>
      <c r="I32" s="1624"/>
      <c r="J32" s="2474">
        <f t="shared" si="15"/>
        <v>0</v>
      </c>
      <c r="K32" s="937">
        <f>U32+W32</f>
        <v>0</v>
      </c>
      <c r="L32" s="2475">
        <f t="shared" si="17"/>
        <v>0</v>
      </c>
      <c r="M32" s="1166"/>
      <c r="N32" s="1623"/>
      <c r="O32" s="1621"/>
      <c r="P32" s="1622"/>
      <c r="Q32" s="973">
        <f t="shared" si="18"/>
        <v>0</v>
      </c>
      <c r="R32" s="1623"/>
      <c r="S32" s="1621"/>
      <c r="T32" s="1624"/>
      <c r="U32" s="2467">
        <f t="shared" si="4"/>
        <v>0</v>
      </c>
      <c r="V32" s="1624"/>
      <c r="W32" s="1621"/>
      <c r="X32" s="1626"/>
    </row>
    <row r="33" spans="1:24" ht="11.25" hidden="1" customHeight="1" x14ac:dyDescent="0.25">
      <c r="A33" s="1165">
        <f>'Org structure'!E29</f>
        <v>0</v>
      </c>
      <c r="B33" s="293"/>
      <c r="C33" s="1621"/>
      <c r="D33" s="1621"/>
      <c r="E33" s="1622"/>
      <c r="F33" s="1623"/>
      <c r="G33" s="1621"/>
      <c r="H33" s="1622"/>
      <c r="I33" s="1624"/>
      <c r="J33" s="2474">
        <f>Q33+V33</f>
        <v>0</v>
      </c>
      <c r="K33" s="937">
        <f t="shared" si="16"/>
        <v>0</v>
      </c>
      <c r="L33" s="2475">
        <f t="shared" si="17"/>
        <v>0</v>
      </c>
      <c r="M33" s="1166"/>
      <c r="N33" s="1623"/>
      <c r="O33" s="1621"/>
      <c r="P33" s="1622"/>
      <c r="Q33" s="973">
        <f t="shared" si="18"/>
        <v>0</v>
      </c>
      <c r="R33" s="1623"/>
      <c r="S33" s="1621"/>
      <c r="T33" s="1624"/>
      <c r="U33" s="2467">
        <f t="shared" si="4"/>
        <v>0</v>
      </c>
      <c r="V33" s="1624"/>
      <c r="W33" s="1621"/>
      <c r="X33" s="1626"/>
    </row>
    <row r="34" spans="1:24" ht="11.25" hidden="1" customHeight="1" x14ac:dyDescent="0.25">
      <c r="A34" s="1165">
        <f>'Org structure'!E30</f>
        <v>0</v>
      </c>
      <c r="B34" s="293"/>
      <c r="C34" s="1621"/>
      <c r="D34" s="1621"/>
      <c r="E34" s="1622"/>
      <c r="F34" s="1623"/>
      <c r="G34" s="1621"/>
      <c r="H34" s="1622"/>
      <c r="I34" s="1624"/>
      <c r="J34" s="2474">
        <f t="shared" si="15"/>
        <v>0</v>
      </c>
      <c r="K34" s="937">
        <f t="shared" si="16"/>
        <v>0</v>
      </c>
      <c r="L34" s="2475">
        <f t="shared" si="17"/>
        <v>0</v>
      </c>
      <c r="M34" s="1166"/>
      <c r="N34" s="1623"/>
      <c r="O34" s="1621"/>
      <c r="P34" s="1622"/>
      <c r="Q34" s="973">
        <f t="shared" si="18"/>
        <v>0</v>
      </c>
      <c r="R34" s="1623"/>
      <c r="S34" s="1621"/>
      <c r="T34" s="1624"/>
      <c r="U34" s="2467">
        <f t="shared" si="4"/>
        <v>0</v>
      </c>
      <c r="V34" s="1624"/>
      <c r="W34" s="1621"/>
      <c r="X34" s="1626"/>
    </row>
    <row r="35" spans="1:24" ht="11.25" hidden="1" customHeight="1" x14ac:dyDescent="0.25">
      <c r="A35" s="1165">
        <f>'Org structure'!E31</f>
        <v>0</v>
      </c>
      <c r="B35" s="293"/>
      <c r="C35" s="1621"/>
      <c r="D35" s="1621"/>
      <c r="E35" s="1622"/>
      <c r="F35" s="1623"/>
      <c r="G35" s="1621"/>
      <c r="H35" s="1622"/>
      <c r="I35" s="1624"/>
      <c r="J35" s="2474">
        <f t="shared" si="15"/>
        <v>0</v>
      </c>
      <c r="K35" s="937">
        <f t="shared" si="16"/>
        <v>0</v>
      </c>
      <c r="L35" s="2475">
        <f t="shared" si="17"/>
        <v>0</v>
      </c>
      <c r="M35" s="1166"/>
      <c r="N35" s="1623"/>
      <c r="O35" s="1621"/>
      <c r="P35" s="1622"/>
      <c r="Q35" s="973">
        <f t="shared" si="18"/>
        <v>0</v>
      </c>
      <c r="R35" s="1623"/>
      <c r="S35" s="1621"/>
      <c r="T35" s="1624"/>
      <c r="U35" s="2467">
        <f t="shared" si="4"/>
        <v>0</v>
      </c>
      <c r="V35" s="1624"/>
      <c r="W35" s="1621"/>
      <c r="X35" s="1626"/>
    </row>
    <row r="36" spans="1:24" ht="11.25" hidden="1" customHeight="1" x14ac:dyDescent="0.25">
      <c r="A36" s="1165">
        <f>'Org structure'!E32</f>
        <v>0</v>
      </c>
      <c r="B36" s="293"/>
      <c r="C36" s="1621"/>
      <c r="D36" s="1621"/>
      <c r="E36" s="1622"/>
      <c r="F36" s="1623"/>
      <c r="G36" s="1621"/>
      <c r="H36" s="1622"/>
      <c r="I36" s="1624"/>
      <c r="J36" s="2474">
        <f t="shared" si="15"/>
        <v>0</v>
      </c>
      <c r="K36" s="937">
        <f t="shared" si="16"/>
        <v>0</v>
      </c>
      <c r="L36" s="2475">
        <f t="shared" si="17"/>
        <v>0</v>
      </c>
      <c r="M36" s="1166"/>
      <c r="N36" s="1623"/>
      <c r="O36" s="1621"/>
      <c r="P36" s="1622"/>
      <c r="Q36" s="973">
        <f t="shared" si="18"/>
        <v>0</v>
      </c>
      <c r="R36" s="1623"/>
      <c r="S36" s="1621"/>
      <c r="T36" s="1624"/>
      <c r="U36" s="2467">
        <f t="shared" si="4"/>
        <v>0</v>
      </c>
      <c r="V36" s="1624"/>
      <c r="W36" s="1621"/>
      <c r="X36" s="1626"/>
    </row>
    <row r="37" spans="1:24" ht="11.25" hidden="1" customHeight="1" x14ac:dyDescent="0.25">
      <c r="A37" s="1165">
        <f>'Org structure'!E33</f>
        <v>0</v>
      </c>
      <c r="B37" s="293"/>
      <c r="C37" s="1621"/>
      <c r="D37" s="1621"/>
      <c r="E37" s="1622"/>
      <c r="F37" s="1623"/>
      <c r="G37" s="1621"/>
      <c r="H37" s="1622"/>
      <c r="I37" s="1624"/>
      <c r="J37" s="2474">
        <f t="shared" si="15"/>
        <v>0</v>
      </c>
      <c r="K37" s="937">
        <f t="shared" si="16"/>
        <v>0</v>
      </c>
      <c r="L37" s="2475">
        <f t="shared" si="17"/>
        <v>0</v>
      </c>
      <c r="M37" s="1166"/>
      <c r="N37" s="1623"/>
      <c r="O37" s="1621"/>
      <c r="P37" s="1622"/>
      <c r="Q37" s="973">
        <f t="shared" si="18"/>
        <v>0</v>
      </c>
      <c r="R37" s="1623"/>
      <c r="S37" s="1621"/>
      <c r="T37" s="1624"/>
      <c r="U37" s="2467">
        <f t="shared" si="4"/>
        <v>0</v>
      </c>
      <c r="V37" s="1624"/>
      <c r="W37" s="1621"/>
      <c r="X37" s="1626"/>
    </row>
    <row r="38" spans="1:24" ht="11.25" hidden="1" customHeight="1" x14ac:dyDescent="0.25">
      <c r="A38" s="1165">
        <f>'Org structure'!E34</f>
        <v>0</v>
      </c>
      <c r="B38" s="293"/>
      <c r="C38" s="1621"/>
      <c r="D38" s="1621"/>
      <c r="E38" s="1622"/>
      <c r="F38" s="1623"/>
      <c r="G38" s="1621"/>
      <c r="H38" s="1622"/>
      <c r="I38" s="1624"/>
      <c r="J38" s="2474">
        <f t="shared" si="15"/>
        <v>0</v>
      </c>
      <c r="K38" s="937">
        <f t="shared" si="16"/>
        <v>0</v>
      </c>
      <c r="L38" s="2475">
        <f t="shared" si="17"/>
        <v>0</v>
      </c>
      <c r="M38" s="1166"/>
      <c r="N38" s="1623"/>
      <c r="O38" s="1621"/>
      <c r="P38" s="1622"/>
      <c r="Q38" s="973">
        <f t="shared" si="18"/>
        <v>0</v>
      </c>
      <c r="R38" s="1623"/>
      <c r="S38" s="1621"/>
      <c r="T38" s="1624"/>
      <c r="U38" s="2467">
        <f t="shared" si="4"/>
        <v>0</v>
      </c>
      <c r="V38" s="1624"/>
      <c r="W38" s="1621"/>
      <c r="X38" s="1626"/>
    </row>
    <row r="39" spans="1:24" ht="15" hidden="1" customHeight="1" x14ac:dyDescent="0.25">
      <c r="A39" s="1164" t="str">
        <f>'Org structure'!A5</f>
        <v>Vote 4 - 104 FINANCE</v>
      </c>
      <c r="B39" s="976"/>
      <c r="C39" s="971">
        <f>SUM(C40:C49)</f>
        <v>0</v>
      </c>
      <c r="D39" s="971">
        <f t="shared" ref="D39:L39" si="19">SUM(D40:D49)</f>
        <v>0</v>
      </c>
      <c r="E39" s="972">
        <f t="shared" si="19"/>
        <v>0</v>
      </c>
      <c r="F39" s="977">
        <f t="shared" si="19"/>
        <v>0</v>
      </c>
      <c r="G39" s="971">
        <f t="shared" si="19"/>
        <v>0</v>
      </c>
      <c r="H39" s="972">
        <f t="shared" si="19"/>
        <v>0</v>
      </c>
      <c r="I39" s="974">
        <f>SUM(I40:I49)</f>
        <v>0</v>
      </c>
      <c r="J39" s="2474">
        <f t="shared" si="19"/>
        <v>0</v>
      </c>
      <c r="K39" s="937">
        <f t="shared" si="19"/>
        <v>0</v>
      </c>
      <c r="L39" s="2475">
        <f t="shared" si="19"/>
        <v>0</v>
      </c>
      <c r="M39" s="1166"/>
      <c r="N39" s="973">
        <f t="shared" ref="N39:X39" si="20">SUM(N40:N49)</f>
        <v>0</v>
      </c>
      <c r="O39" s="971">
        <f t="shared" si="20"/>
        <v>0</v>
      </c>
      <c r="P39" s="978">
        <f t="shared" si="20"/>
        <v>0</v>
      </c>
      <c r="Q39" s="973">
        <f t="shared" si="20"/>
        <v>0</v>
      </c>
      <c r="R39" s="973">
        <f t="shared" si="20"/>
        <v>0</v>
      </c>
      <c r="S39" s="971">
        <f t="shared" si="20"/>
        <v>0</v>
      </c>
      <c r="T39" s="2471">
        <f t="shared" si="20"/>
        <v>0</v>
      </c>
      <c r="U39" s="2467">
        <f t="shared" si="20"/>
        <v>0</v>
      </c>
      <c r="V39" s="2472">
        <f t="shared" si="20"/>
        <v>0</v>
      </c>
      <c r="W39" s="971">
        <f t="shared" si="20"/>
        <v>0</v>
      </c>
      <c r="X39" s="2473">
        <f t="shared" si="20"/>
        <v>0</v>
      </c>
    </row>
    <row r="40" spans="1:24" ht="11.25" hidden="1" customHeight="1" x14ac:dyDescent="0.25">
      <c r="A40" s="1165" t="str">
        <f>'Org structure'!E36</f>
        <v>4.1 - [Name of sub-vote]</v>
      </c>
      <c r="B40" s="293"/>
      <c r="C40" s="1621"/>
      <c r="D40" s="1621"/>
      <c r="E40" s="1622"/>
      <c r="F40" s="1623"/>
      <c r="G40" s="1621"/>
      <c r="H40" s="1622"/>
      <c r="I40" s="1624"/>
      <c r="J40" s="2474">
        <f t="shared" ref="J40:J49" si="21">Q40+V40</f>
        <v>0</v>
      </c>
      <c r="K40" s="937">
        <f t="shared" ref="K40:K49" si="22">U40+W40</f>
        <v>0</v>
      </c>
      <c r="L40" s="2475">
        <f t="shared" ref="L40:L49" si="23">X40</f>
        <v>0</v>
      </c>
      <c r="M40" s="1166"/>
      <c r="N40" s="1623"/>
      <c r="O40" s="1621"/>
      <c r="P40" s="1622"/>
      <c r="Q40" s="973">
        <f t="shared" ref="Q40:Q49" si="24">SUM(N40:P40)</f>
        <v>0</v>
      </c>
      <c r="R40" s="1623"/>
      <c r="S40" s="1621"/>
      <c r="T40" s="1624"/>
      <c r="U40" s="2467">
        <f t="shared" si="4"/>
        <v>0</v>
      </c>
      <c r="V40" s="1624"/>
      <c r="W40" s="1621"/>
      <c r="X40" s="1626"/>
    </row>
    <row r="41" spans="1:24" ht="11.25" hidden="1" customHeight="1" x14ac:dyDescent="0.25">
      <c r="A41" s="1165">
        <f>'Org structure'!E37</f>
        <v>0</v>
      </c>
      <c r="B41" s="293"/>
      <c r="C41" s="1621"/>
      <c r="D41" s="1621"/>
      <c r="E41" s="1622"/>
      <c r="F41" s="1623"/>
      <c r="G41" s="1621"/>
      <c r="H41" s="1622"/>
      <c r="I41" s="1624"/>
      <c r="J41" s="2474">
        <f t="shared" si="21"/>
        <v>0</v>
      </c>
      <c r="K41" s="937">
        <f t="shared" si="22"/>
        <v>0</v>
      </c>
      <c r="L41" s="2475">
        <f t="shared" si="23"/>
        <v>0</v>
      </c>
      <c r="M41" s="1166"/>
      <c r="N41" s="1623"/>
      <c r="O41" s="1621"/>
      <c r="P41" s="1622"/>
      <c r="Q41" s="973">
        <f t="shared" si="24"/>
        <v>0</v>
      </c>
      <c r="R41" s="1623"/>
      <c r="S41" s="1621"/>
      <c r="T41" s="1624"/>
      <c r="U41" s="2467">
        <f t="shared" si="4"/>
        <v>0</v>
      </c>
      <c r="V41" s="1624"/>
      <c r="W41" s="1621"/>
      <c r="X41" s="1626"/>
    </row>
    <row r="42" spans="1:24" ht="11.25" hidden="1" customHeight="1" x14ac:dyDescent="0.25">
      <c r="A42" s="1165">
        <f>'Org structure'!E38</f>
        <v>0</v>
      </c>
      <c r="B42" s="293"/>
      <c r="C42" s="1621"/>
      <c r="D42" s="1621"/>
      <c r="E42" s="1622"/>
      <c r="F42" s="1623"/>
      <c r="G42" s="1621"/>
      <c r="H42" s="1622"/>
      <c r="I42" s="1624"/>
      <c r="J42" s="2474">
        <f t="shared" si="21"/>
        <v>0</v>
      </c>
      <c r="K42" s="937">
        <f t="shared" si="22"/>
        <v>0</v>
      </c>
      <c r="L42" s="2475">
        <f t="shared" si="23"/>
        <v>0</v>
      </c>
      <c r="M42" s="1166"/>
      <c r="N42" s="1623"/>
      <c r="O42" s="1621"/>
      <c r="P42" s="1622"/>
      <c r="Q42" s="973">
        <f t="shared" si="24"/>
        <v>0</v>
      </c>
      <c r="R42" s="1623"/>
      <c r="S42" s="1621"/>
      <c r="T42" s="1624"/>
      <c r="U42" s="2467">
        <f t="shared" si="4"/>
        <v>0</v>
      </c>
      <c r="V42" s="1624"/>
      <c r="W42" s="1621"/>
      <c r="X42" s="1626"/>
    </row>
    <row r="43" spans="1:24" ht="11.25" hidden="1" customHeight="1" x14ac:dyDescent="0.25">
      <c r="A43" s="1165">
        <f>'Org structure'!E39</f>
        <v>0</v>
      </c>
      <c r="B43" s="293"/>
      <c r="C43" s="1621"/>
      <c r="D43" s="1621"/>
      <c r="E43" s="1622"/>
      <c r="F43" s="1623"/>
      <c r="G43" s="1621"/>
      <c r="H43" s="1622"/>
      <c r="I43" s="1624"/>
      <c r="J43" s="2474">
        <f t="shared" si="21"/>
        <v>0</v>
      </c>
      <c r="K43" s="937">
        <f t="shared" si="22"/>
        <v>0</v>
      </c>
      <c r="L43" s="2475">
        <f t="shared" si="23"/>
        <v>0</v>
      </c>
      <c r="M43" s="1166"/>
      <c r="N43" s="1623"/>
      <c r="O43" s="1621"/>
      <c r="P43" s="1622"/>
      <c r="Q43" s="973">
        <f t="shared" si="24"/>
        <v>0</v>
      </c>
      <c r="R43" s="1623"/>
      <c r="S43" s="1621"/>
      <c r="T43" s="1624"/>
      <c r="U43" s="2467">
        <f t="shared" si="4"/>
        <v>0</v>
      </c>
      <c r="V43" s="1624"/>
      <c r="W43" s="1621"/>
      <c r="X43" s="1626"/>
    </row>
    <row r="44" spans="1:24" ht="11.25" hidden="1" customHeight="1" x14ac:dyDescent="0.25">
      <c r="A44" s="1165">
        <f>'Org structure'!E40</f>
        <v>0</v>
      </c>
      <c r="B44" s="293"/>
      <c r="C44" s="1621"/>
      <c r="D44" s="1621"/>
      <c r="E44" s="1622"/>
      <c r="F44" s="1623"/>
      <c r="G44" s="1621"/>
      <c r="H44" s="1622"/>
      <c r="I44" s="1624"/>
      <c r="J44" s="2474">
        <f t="shared" si="21"/>
        <v>0</v>
      </c>
      <c r="K44" s="937">
        <f t="shared" si="22"/>
        <v>0</v>
      </c>
      <c r="L44" s="2475">
        <f t="shared" si="23"/>
        <v>0</v>
      </c>
      <c r="M44" s="1166"/>
      <c r="N44" s="1623"/>
      <c r="O44" s="1621"/>
      <c r="P44" s="1622"/>
      <c r="Q44" s="973">
        <f t="shared" si="24"/>
        <v>0</v>
      </c>
      <c r="R44" s="1623"/>
      <c r="S44" s="1621"/>
      <c r="T44" s="1624"/>
      <c r="U44" s="2467">
        <f t="shared" si="4"/>
        <v>0</v>
      </c>
      <c r="V44" s="1624"/>
      <c r="W44" s="1621"/>
      <c r="X44" s="1626"/>
    </row>
    <row r="45" spans="1:24" ht="11.25" hidden="1" customHeight="1" x14ac:dyDescent="0.25">
      <c r="A45" s="1165">
        <f>'Org structure'!E41</f>
        <v>0</v>
      </c>
      <c r="B45" s="293"/>
      <c r="C45" s="1621"/>
      <c r="D45" s="1621"/>
      <c r="E45" s="1622"/>
      <c r="F45" s="1623"/>
      <c r="G45" s="1621"/>
      <c r="H45" s="1622"/>
      <c r="I45" s="1624"/>
      <c r="J45" s="2474">
        <f t="shared" si="21"/>
        <v>0</v>
      </c>
      <c r="K45" s="937">
        <f t="shared" si="22"/>
        <v>0</v>
      </c>
      <c r="L45" s="2475">
        <f t="shared" si="23"/>
        <v>0</v>
      </c>
      <c r="M45" s="1166"/>
      <c r="N45" s="1623"/>
      <c r="O45" s="1621"/>
      <c r="P45" s="1622"/>
      <c r="Q45" s="973">
        <f t="shared" si="24"/>
        <v>0</v>
      </c>
      <c r="R45" s="1623"/>
      <c r="S45" s="1621"/>
      <c r="T45" s="1624"/>
      <c r="U45" s="2467">
        <f t="shared" si="4"/>
        <v>0</v>
      </c>
      <c r="V45" s="1624"/>
      <c r="W45" s="1621"/>
      <c r="X45" s="1626"/>
    </row>
    <row r="46" spans="1:24" ht="11.25" hidden="1" customHeight="1" x14ac:dyDescent="0.25">
      <c r="A46" s="1165">
        <f>'Org structure'!E42</f>
        <v>0</v>
      </c>
      <c r="B46" s="293"/>
      <c r="C46" s="1621"/>
      <c r="D46" s="1621"/>
      <c r="E46" s="1622"/>
      <c r="F46" s="1623"/>
      <c r="G46" s="1621"/>
      <c r="H46" s="1622"/>
      <c r="I46" s="1624"/>
      <c r="J46" s="2474">
        <f t="shared" si="21"/>
        <v>0</v>
      </c>
      <c r="K46" s="937">
        <f t="shared" si="22"/>
        <v>0</v>
      </c>
      <c r="L46" s="2475">
        <f t="shared" si="23"/>
        <v>0</v>
      </c>
      <c r="M46" s="1166"/>
      <c r="N46" s="1623"/>
      <c r="O46" s="1621"/>
      <c r="P46" s="1622"/>
      <c r="Q46" s="973">
        <f t="shared" si="24"/>
        <v>0</v>
      </c>
      <c r="R46" s="1623"/>
      <c r="S46" s="1621"/>
      <c r="T46" s="1624"/>
      <c r="U46" s="2467">
        <f t="shared" si="4"/>
        <v>0</v>
      </c>
      <c r="V46" s="1624"/>
      <c r="W46" s="1621"/>
      <c r="X46" s="1626"/>
    </row>
    <row r="47" spans="1:24" ht="11.25" hidden="1" customHeight="1" x14ac:dyDescent="0.25">
      <c r="A47" s="1165">
        <f>'Org structure'!E43</f>
        <v>0</v>
      </c>
      <c r="B47" s="293"/>
      <c r="C47" s="1621"/>
      <c r="D47" s="1621"/>
      <c r="E47" s="1622"/>
      <c r="F47" s="1623"/>
      <c r="G47" s="1621"/>
      <c r="H47" s="1622"/>
      <c r="I47" s="1624"/>
      <c r="J47" s="2474">
        <f t="shared" si="21"/>
        <v>0</v>
      </c>
      <c r="K47" s="937">
        <f t="shared" si="22"/>
        <v>0</v>
      </c>
      <c r="L47" s="2475">
        <f t="shared" si="23"/>
        <v>0</v>
      </c>
      <c r="M47" s="1166"/>
      <c r="N47" s="1623"/>
      <c r="O47" s="1621"/>
      <c r="P47" s="1622"/>
      <c r="Q47" s="973">
        <f t="shared" si="24"/>
        <v>0</v>
      </c>
      <c r="R47" s="1623"/>
      <c r="S47" s="1621"/>
      <c r="T47" s="1624"/>
      <c r="U47" s="2467">
        <f t="shared" si="4"/>
        <v>0</v>
      </c>
      <c r="V47" s="1624"/>
      <c r="W47" s="1621"/>
      <c r="X47" s="1626"/>
    </row>
    <row r="48" spans="1:24" ht="11.25" hidden="1" customHeight="1" x14ac:dyDescent="0.25">
      <c r="A48" s="1165">
        <f>'Org structure'!E44</f>
        <v>0</v>
      </c>
      <c r="B48" s="293"/>
      <c r="C48" s="1621"/>
      <c r="D48" s="1621"/>
      <c r="E48" s="1622"/>
      <c r="F48" s="1623"/>
      <c r="G48" s="1621"/>
      <c r="H48" s="1622"/>
      <c r="I48" s="1624"/>
      <c r="J48" s="2474">
        <f t="shared" si="21"/>
        <v>0</v>
      </c>
      <c r="K48" s="937">
        <f t="shared" si="22"/>
        <v>0</v>
      </c>
      <c r="L48" s="2475">
        <f t="shared" si="23"/>
        <v>0</v>
      </c>
      <c r="M48" s="1166"/>
      <c r="N48" s="1623"/>
      <c r="O48" s="1621"/>
      <c r="P48" s="1622"/>
      <c r="Q48" s="973">
        <f t="shared" si="24"/>
        <v>0</v>
      </c>
      <c r="R48" s="1623"/>
      <c r="S48" s="1621"/>
      <c r="T48" s="1624"/>
      <c r="U48" s="2467">
        <f t="shared" si="4"/>
        <v>0</v>
      </c>
      <c r="V48" s="1624"/>
      <c r="W48" s="1621"/>
      <c r="X48" s="1626"/>
    </row>
    <row r="49" spans="1:24" ht="11.25" hidden="1" customHeight="1" x14ac:dyDescent="0.25">
      <c r="A49" s="1165">
        <f>'Org structure'!E45</f>
        <v>0</v>
      </c>
      <c r="B49" s="293"/>
      <c r="C49" s="1621"/>
      <c r="D49" s="1621"/>
      <c r="E49" s="1622"/>
      <c r="F49" s="1623"/>
      <c r="G49" s="1621"/>
      <c r="H49" s="1622"/>
      <c r="I49" s="1624"/>
      <c r="J49" s="2474">
        <f t="shared" si="21"/>
        <v>0</v>
      </c>
      <c r="K49" s="937">
        <f t="shared" si="22"/>
        <v>0</v>
      </c>
      <c r="L49" s="2475">
        <f t="shared" si="23"/>
        <v>0</v>
      </c>
      <c r="M49" s="1166"/>
      <c r="N49" s="1623"/>
      <c r="O49" s="1621"/>
      <c r="P49" s="1622"/>
      <c r="Q49" s="973">
        <f t="shared" si="24"/>
        <v>0</v>
      </c>
      <c r="R49" s="1623"/>
      <c r="S49" s="1621"/>
      <c r="T49" s="1624"/>
      <c r="U49" s="2467">
        <f t="shared" si="4"/>
        <v>0</v>
      </c>
      <c r="V49" s="1624"/>
      <c r="W49" s="1621"/>
      <c r="X49" s="1626"/>
    </row>
    <row r="50" spans="1:24" ht="15" hidden="1" customHeight="1" x14ac:dyDescent="0.25">
      <c r="A50" s="1164" t="str">
        <f>'Org structure'!A6</f>
        <v>Vote 5 - 105 TECHNICAL SERVICES</v>
      </c>
      <c r="B50" s="976"/>
      <c r="C50" s="971">
        <f>SUM(C51:C60)</f>
        <v>0</v>
      </c>
      <c r="D50" s="971">
        <f t="shared" ref="D50:L50" si="25">SUM(D51:D60)</f>
        <v>0</v>
      </c>
      <c r="E50" s="972">
        <f t="shared" si="25"/>
        <v>0</v>
      </c>
      <c r="F50" s="973">
        <f t="shared" si="25"/>
        <v>0</v>
      </c>
      <c r="G50" s="971">
        <f t="shared" si="25"/>
        <v>0</v>
      </c>
      <c r="H50" s="972">
        <f t="shared" si="25"/>
        <v>0</v>
      </c>
      <c r="I50" s="974">
        <f>SUM(I51:I60)</f>
        <v>0</v>
      </c>
      <c r="J50" s="2474">
        <f t="shared" si="25"/>
        <v>0</v>
      </c>
      <c r="K50" s="937">
        <f t="shared" si="25"/>
        <v>0</v>
      </c>
      <c r="L50" s="2475">
        <f t="shared" si="25"/>
        <v>0</v>
      </c>
      <c r="M50" s="1166"/>
      <c r="N50" s="973">
        <f t="shared" ref="N50:X50" si="26">SUM(N51:N60)</f>
        <v>0</v>
      </c>
      <c r="O50" s="971">
        <f t="shared" si="26"/>
        <v>0</v>
      </c>
      <c r="P50" s="972">
        <f t="shared" si="26"/>
        <v>0</v>
      </c>
      <c r="Q50" s="973">
        <f t="shared" si="26"/>
        <v>0</v>
      </c>
      <c r="R50" s="973">
        <f t="shared" si="26"/>
        <v>0</v>
      </c>
      <c r="S50" s="971">
        <f t="shared" si="26"/>
        <v>0</v>
      </c>
      <c r="T50" s="2471">
        <f t="shared" si="26"/>
        <v>0</v>
      </c>
      <c r="U50" s="2467">
        <f t="shared" si="26"/>
        <v>0</v>
      </c>
      <c r="V50" s="2472">
        <f t="shared" si="26"/>
        <v>0</v>
      </c>
      <c r="W50" s="971">
        <f t="shared" si="26"/>
        <v>0</v>
      </c>
      <c r="X50" s="2473">
        <f t="shared" si="26"/>
        <v>0</v>
      </c>
    </row>
    <row r="51" spans="1:24" ht="11.25" hidden="1" customHeight="1" x14ac:dyDescent="0.25">
      <c r="A51" s="1165" t="str">
        <f>'Org structure'!E47</f>
        <v>5.1 - [Name of sub-vote]</v>
      </c>
      <c r="B51" s="293"/>
      <c r="C51" s="1621"/>
      <c r="D51" s="1621"/>
      <c r="E51" s="1622"/>
      <c r="F51" s="1623"/>
      <c r="G51" s="1621"/>
      <c r="H51" s="1622"/>
      <c r="I51" s="1624"/>
      <c r="J51" s="2474">
        <f t="shared" ref="J51:J60" si="27">Q51+V51</f>
        <v>0</v>
      </c>
      <c r="K51" s="937">
        <f t="shared" ref="K51:K60" si="28">U51+W51</f>
        <v>0</v>
      </c>
      <c r="L51" s="2475">
        <f t="shared" ref="L51:L60" si="29">X51</f>
        <v>0</v>
      </c>
      <c r="M51" s="1166"/>
      <c r="N51" s="1623"/>
      <c r="O51" s="1621"/>
      <c r="P51" s="1622"/>
      <c r="Q51" s="973">
        <f t="shared" ref="Q51:Q60" si="30">SUM(N51:P51)</f>
        <v>0</v>
      </c>
      <c r="R51" s="1623"/>
      <c r="S51" s="1621"/>
      <c r="T51" s="1624"/>
      <c r="U51" s="2467">
        <f t="shared" si="4"/>
        <v>0</v>
      </c>
      <c r="V51" s="1624"/>
      <c r="W51" s="1621"/>
      <c r="X51" s="1626"/>
    </row>
    <row r="52" spans="1:24" ht="11.25" hidden="1" customHeight="1" x14ac:dyDescent="0.25">
      <c r="A52" s="1165">
        <f>'Org structure'!E48</f>
        <v>0</v>
      </c>
      <c r="B52" s="293"/>
      <c r="C52" s="1621"/>
      <c r="D52" s="1621"/>
      <c r="E52" s="1622"/>
      <c r="F52" s="1623"/>
      <c r="G52" s="1621"/>
      <c r="H52" s="1622"/>
      <c r="I52" s="1624"/>
      <c r="J52" s="2474">
        <f t="shared" si="27"/>
        <v>0</v>
      </c>
      <c r="K52" s="937">
        <f t="shared" si="28"/>
        <v>0</v>
      </c>
      <c r="L52" s="2475">
        <f t="shared" si="29"/>
        <v>0</v>
      </c>
      <c r="M52" s="1166"/>
      <c r="N52" s="1623"/>
      <c r="O52" s="1621"/>
      <c r="P52" s="1622"/>
      <c r="Q52" s="973">
        <f t="shared" si="30"/>
        <v>0</v>
      </c>
      <c r="R52" s="1623"/>
      <c r="S52" s="1621"/>
      <c r="T52" s="1624"/>
      <c r="U52" s="2467">
        <f t="shared" si="4"/>
        <v>0</v>
      </c>
      <c r="V52" s="1624"/>
      <c r="W52" s="1621"/>
      <c r="X52" s="1626"/>
    </row>
    <row r="53" spans="1:24" ht="11.25" hidden="1" customHeight="1" x14ac:dyDescent="0.25">
      <c r="A53" s="1165">
        <f>'Org structure'!E49</f>
        <v>0</v>
      </c>
      <c r="B53" s="293"/>
      <c r="C53" s="1621"/>
      <c r="D53" s="1621"/>
      <c r="E53" s="1622"/>
      <c r="F53" s="1623"/>
      <c r="G53" s="1621"/>
      <c r="H53" s="1622"/>
      <c r="I53" s="1624"/>
      <c r="J53" s="2474">
        <f t="shared" si="27"/>
        <v>0</v>
      </c>
      <c r="K53" s="937">
        <f t="shared" si="28"/>
        <v>0</v>
      </c>
      <c r="L53" s="2475">
        <f t="shared" si="29"/>
        <v>0</v>
      </c>
      <c r="M53" s="1166"/>
      <c r="N53" s="1623"/>
      <c r="O53" s="1621"/>
      <c r="P53" s="1622"/>
      <c r="Q53" s="973">
        <f t="shared" si="30"/>
        <v>0</v>
      </c>
      <c r="R53" s="1623"/>
      <c r="S53" s="1621"/>
      <c r="T53" s="1624"/>
      <c r="U53" s="2467">
        <f t="shared" si="4"/>
        <v>0</v>
      </c>
      <c r="V53" s="1624"/>
      <c r="W53" s="1621"/>
      <c r="X53" s="1626"/>
    </row>
    <row r="54" spans="1:24" ht="11.25" hidden="1" customHeight="1" x14ac:dyDescent="0.25">
      <c r="A54" s="1165">
        <f>'Org structure'!E50</f>
        <v>0</v>
      </c>
      <c r="B54" s="293"/>
      <c r="C54" s="1621"/>
      <c r="D54" s="1621"/>
      <c r="E54" s="1622"/>
      <c r="F54" s="1623"/>
      <c r="G54" s="1621"/>
      <c r="H54" s="1622"/>
      <c r="I54" s="1624"/>
      <c r="J54" s="2474">
        <f t="shared" si="27"/>
        <v>0</v>
      </c>
      <c r="K54" s="937">
        <f t="shared" si="28"/>
        <v>0</v>
      </c>
      <c r="L54" s="2475">
        <f t="shared" si="29"/>
        <v>0</v>
      </c>
      <c r="M54" s="1166"/>
      <c r="N54" s="1623"/>
      <c r="O54" s="1621"/>
      <c r="P54" s="1622"/>
      <c r="Q54" s="973">
        <f t="shared" si="30"/>
        <v>0</v>
      </c>
      <c r="R54" s="1623"/>
      <c r="S54" s="1621"/>
      <c r="T54" s="1624"/>
      <c r="U54" s="2467">
        <f t="shared" si="4"/>
        <v>0</v>
      </c>
      <c r="V54" s="1624"/>
      <c r="W54" s="1621"/>
      <c r="X54" s="1626"/>
    </row>
    <row r="55" spans="1:24" ht="11.25" hidden="1" customHeight="1" x14ac:dyDescent="0.25">
      <c r="A55" s="1165">
        <f>'Org structure'!E51</f>
        <v>0</v>
      </c>
      <c r="B55" s="293"/>
      <c r="C55" s="1621"/>
      <c r="D55" s="1621"/>
      <c r="E55" s="1622"/>
      <c r="F55" s="1623"/>
      <c r="G55" s="1621"/>
      <c r="H55" s="1622"/>
      <c r="I55" s="1624"/>
      <c r="J55" s="2474">
        <f t="shared" si="27"/>
        <v>0</v>
      </c>
      <c r="K55" s="937">
        <f t="shared" si="28"/>
        <v>0</v>
      </c>
      <c r="L55" s="2475">
        <f t="shared" si="29"/>
        <v>0</v>
      </c>
      <c r="M55" s="1166"/>
      <c r="N55" s="1623"/>
      <c r="O55" s="1621"/>
      <c r="P55" s="1622"/>
      <c r="Q55" s="973">
        <f t="shared" si="30"/>
        <v>0</v>
      </c>
      <c r="R55" s="1623"/>
      <c r="S55" s="1621"/>
      <c r="T55" s="1624"/>
      <c r="U55" s="2467">
        <f t="shared" si="4"/>
        <v>0</v>
      </c>
      <c r="V55" s="1624"/>
      <c r="W55" s="1621"/>
      <c r="X55" s="1626"/>
    </row>
    <row r="56" spans="1:24" ht="11.25" hidden="1" customHeight="1" x14ac:dyDescent="0.25">
      <c r="A56" s="1165">
        <f>'Org structure'!E52</f>
        <v>0</v>
      </c>
      <c r="B56" s="293"/>
      <c r="C56" s="1621"/>
      <c r="D56" s="1621"/>
      <c r="E56" s="1622"/>
      <c r="F56" s="1623"/>
      <c r="G56" s="1621"/>
      <c r="H56" s="1622"/>
      <c r="I56" s="1624"/>
      <c r="J56" s="2474">
        <f t="shared" si="27"/>
        <v>0</v>
      </c>
      <c r="K56" s="937">
        <f t="shared" si="28"/>
        <v>0</v>
      </c>
      <c r="L56" s="2475">
        <f t="shared" si="29"/>
        <v>0</v>
      </c>
      <c r="M56" s="1166"/>
      <c r="N56" s="1623"/>
      <c r="O56" s="1621"/>
      <c r="P56" s="1622"/>
      <c r="Q56" s="973">
        <f t="shared" si="30"/>
        <v>0</v>
      </c>
      <c r="R56" s="1623"/>
      <c r="S56" s="1621"/>
      <c r="T56" s="1624"/>
      <c r="U56" s="2467">
        <f t="shared" si="4"/>
        <v>0</v>
      </c>
      <c r="V56" s="1624"/>
      <c r="W56" s="1621"/>
      <c r="X56" s="1626"/>
    </row>
    <row r="57" spans="1:24" ht="11.25" hidden="1" customHeight="1" x14ac:dyDescent="0.25">
      <c r="A57" s="1165">
        <f>'Org structure'!E53</f>
        <v>0</v>
      </c>
      <c r="B57" s="293"/>
      <c r="C57" s="1621"/>
      <c r="D57" s="1621"/>
      <c r="E57" s="1622"/>
      <c r="F57" s="1623"/>
      <c r="G57" s="1621"/>
      <c r="H57" s="1622"/>
      <c r="I57" s="1624"/>
      <c r="J57" s="2474">
        <f t="shared" si="27"/>
        <v>0</v>
      </c>
      <c r="K57" s="937">
        <f t="shared" si="28"/>
        <v>0</v>
      </c>
      <c r="L57" s="2475">
        <f t="shared" si="29"/>
        <v>0</v>
      </c>
      <c r="M57" s="1166"/>
      <c r="N57" s="1623"/>
      <c r="O57" s="1621"/>
      <c r="P57" s="1622"/>
      <c r="Q57" s="973">
        <f t="shared" si="30"/>
        <v>0</v>
      </c>
      <c r="R57" s="1623"/>
      <c r="S57" s="1621"/>
      <c r="T57" s="1624"/>
      <c r="U57" s="2467">
        <f t="shared" si="4"/>
        <v>0</v>
      </c>
      <c r="V57" s="1624"/>
      <c r="W57" s="1621"/>
      <c r="X57" s="1626"/>
    </row>
    <row r="58" spans="1:24" ht="11.25" hidden="1" customHeight="1" x14ac:dyDescent="0.25">
      <c r="A58" s="1165">
        <f>'Org structure'!E54</f>
        <v>0</v>
      </c>
      <c r="B58" s="293"/>
      <c r="C58" s="1621"/>
      <c r="D58" s="1621"/>
      <c r="E58" s="1622"/>
      <c r="F58" s="1623"/>
      <c r="G58" s="1621"/>
      <c r="H58" s="1622"/>
      <c r="I58" s="1624"/>
      <c r="J58" s="2474">
        <f t="shared" si="27"/>
        <v>0</v>
      </c>
      <c r="K58" s="937">
        <f t="shared" si="28"/>
        <v>0</v>
      </c>
      <c r="L58" s="2475">
        <f t="shared" si="29"/>
        <v>0</v>
      </c>
      <c r="M58" s="1166"/>
      <c r="N58" s="1623"/>
      <c r="O58" s="1621"/>
      <c r="P58" s="1622"/>
      <c r="Q58" s="973">
        <f t="shared" si="30"/>
        <v>0</v>
      </c>
      <c r="R58" s="1623"/>
      <c r="S58" s="1621"/>
      <c r="T58" s="1624"/>
      <c r="U58" s="2467">
        <f t="shared" si="4"/>
        <v>0</v>
      </c>
      <c r="V58" s="1624"/>
      <c r="W58" s="1621"/>
      <c r="X58" s="1626"/>
    </row>
    <row r="59" spans="1:24" ht="11.25" hidden="1" customHeight="1" x14ac:dyDescent="0.25">
      <c r="A59" s="1165">
        <f>'Org structure'!E55</f>
        <v>0</v>
      </c>
      <c r="B59" s="293"/>
      <c r="C59" s="1621"/>
      <c r="D59" s="1621"/>
      <c r="E59" s="1622"/>
      <c r="F59" s="1623"/>
      <c r="G59" s="1621"/>
      <c r="H59" s="1622"/>
      <c r="I59" s="1624"/>
      <c r="J59" s="2474">
        <f t="shared" si="27"/>
        <v>0</v>
      </c>
      <c r="K59" s="937">
        <f t="shared" si="28"/>
        <v>0</v>
      </c>
      <c r="L59" s="2475">
        <f t="shared" si="29"/>
        <v>0</v>
      </c>
      <c r="M59" s="1166"/>
      <c r="N59" s="1623"/>
      <c r="O59" s="1621"/>
      <c r="P59" s="1622"/>
      <c r="Q59" s="973">
        <f t="shared" si="30"/>
        <v>0</v>
      </c>
      <c r="R59" s="1623"/>
      <c r="S59" s="1621"/>
      <c r="T59" s="1624"/>
      <c r="U59" s="2467">
        <f t="shared" si="4"/>
        <v>0</v>
      </c>
      <c r="V59" s="1624"/>
      <c r="W59" s="1621"/>
      <c r="X59" s="1626"/>
    </row>
    <row r="60" spans="1:24" ht="11.25" hidden="1" customHeight="1" x14ac:dyDescent="0.25">
      <c r="A60" s="1165">
        <f>'Org structure'!E56</f>
        <v>0</v>
      </c>
      <c r="B60" s="293"/>
      <c r="C60" s="1621"/>
      <c r="D60" s="1621"/>
      <c r="E60" s="1622"/>
      <c r="F60" s="1623"/>
      <c r="G60" s="1621"/>
      <c r="H60" s="1622"/>
      <c r="I60" s="1624"/>
      <c r="J60" s="2474">
        <f t="shared" si="27"/>
        <v>0</v>
      </c>
      <c r="K60" s="937">
        <f t="shared" si="28"/>
        <v>0</v>
      </c>
      <c r="L60" s="2475">
        <f t="shared" si="29"/>
        <v>0</v>
      </c>
      <c r="M60" s="1166"/>
      <c r="N60" s="1623"/>
      <c r="O60" s="1621"/>
      <c r="P60" s="1622"/>
      <c r="Q60" s="973">
        <f t="shared" si="30"/>
        <v>0</v>
      </c>
      <c r="R60" s="1623"/>
      <c r="S60" s="1621"/>
      <c r="T60" s="1624"/>
      <c r="U60" s="2467">
        <f t="shared" si="4"/>
        <v>0</v>
      </c>
      <c r="V60" s="1624"/>
      <c r="W60" s="1621"/>
      <c r="X60" s="1626"/>
    </row>
    <row r="61" spans="1:24" ht="15" hidden="1" customHeight="1" x14ac:dyDescent="0.25">
      <c r="A61" s="1164" t="str">
        <f>'Org structure'!A7</f>
        <v>Vote 6 - 500 PMU</v>
      </c>
      <c r="B61" s="976"/>
      <c r="C61" s="971">
        <f>SUM(C62:C71)</f>
        <v>0</v>
      </c>
      <c r="D61" s="971">
        <f t="shared" ref="D61:L61" si="31">SUM(D62:D71)</f>
        <v>0</v>
      </c>
      <c r="E61" s="972">
        <f t="shared" si="31"/>
        <v>0</v>
      </c>
      <c r="F61" s="973">
        <f t="shared" si="31"/>
        <v>0</v>
      </c>
      <c r="G61" s="971">
        <f t="shared" si="31"/>
        <v>0</v>
      </c>
      <c r="H61" s="972">
        <f t="shared" si="31"/>
        <v>0</v>
      </c>
      <c r="I61" s="974">
        <f>SUM(I62:I71)</f>
        <v>0</v>
      </c>
      <c r="J61" s="2474">
        <f t="shared" si="31"/>
        <v>0</v>
      </c>
      <c r="K61" s="937">
        <f t="shared" si="31"/>
        <v>0</v>
      </c>
      <c r="L61" s="2475">
        <f t="shared" si="31"/>
        <v>0</v>
      </c>
      <c r="M61" s="1166"/>
      <c r="N61" s="973">
        <f t="shared" ref="N61:X61" si="32">SUM(N62:N71)</f>
        <v>0</v>
      </c>
      <c r="O61" s="971">
        <f t="shared" si="32"/>
        <v>0</v>
      </c>
      <c r="P61" s="972">
        <f t="shared" si="32"/>
        <v>0</v>
      </c>
      <c r="Q61" s="973">
        <f t="shared" si="32"/>
        <v>0</v>
      </c>
      <c r="R61" s="973">
        <f t="shared" si="32"/>
        <v>0</v>
      </c>
      <c r="S61" s="971">
        <f t="shared" si="32"/>
        <v>0</v>
      </c>
      <c r="T61" s="2471">
        <f t="shared" si="32"/>
        <v>0</v>
      </c>
      <c r="U61" s="2467">
        <f t="shared" si="32"/>
        <v>0</v>
      </c>
      <c r="V61" s="2472">
        <f t="shared" si="32"/>
        <v>0</v>
      </c>
      <c r="W61" s="971">
        <f t="shared" si="32"/>
        <v>0</v>
      </c>
      <c r="X61" s="2473">
        <f t="shared" si="32"/>
        <v>0</v>
      </c>
    </row>
    <row r="62" spans="1:24" ht="11.25" hidden="1" customHeight="1" x14ac:dyDescent="0.25">
      <c r="A62" s="1165" t="str">
        <f>'Org structure'!E58</f>
        <v>6.1 - [Name of sub-vote]</v>
      </c>
      <c r="B62" s="293"/>
      <c r="C62" s="1621"/>
      <c r="D62" s="1621"/>
      <c r="E62" s="1622"/>
      <c r="F62" s="1623"/>
      <c r="G62" s="1621"/>
      <c r="H62" s="1622"/>
      <c r="I62" s="1624"/>
      <c r="J62" s="2474">
        <f t="shared" ref="J62:J71" si="33">Q62+V62</f>
        <v>0</v>
      </c>
      <c r="K62" s="937">
        <f t="shared" ref="K62:K71" si="34">U62+W62</f>
        <v>0</v>
      </c>
      <c r="L62" s="2475">
        <f t="shared" ref="L62:L71" si="35">X62</f>
        <v>0</v>
      </c>
      <c r="M62" s="1166"/>
      <c r="N62" s="1623"/>
      <c r="O62" s="1621"/>
      <c r="P62" s="1622"/>
      <c r="Q62" s="973">
        <f t="shared" ref="Q62:Q71" si="36">SUM(N62:P62)</f>
        <v>0</v>
      </c>
      <c r="R62" s="1623"/>
      <c r="S62" s="1621"/>
      <c r="T62" s="1624"/>
      <c r="U62" s="2467">
        <f t="shared" si="4"/>
        <v>0</v>
      </c>
      <c r="V62" s="1624"/>
      <c r="W62" s="1621"/>
      <c r="X62" s="1626"/>
    </row>
    <row r="63" spans="1:24" ht="11.25" hidden="1" customHeight="1" x14ac:dyDescent="0.25">
      <c r="A63" s="1165">
        <f>'Org structure'!E59</f>
        <v>0</v>
      </c>
      <c r="B63" s="293"/>
      <c r="C63" s="1621"/>
      <c r="D63" s="1621"/>
      <c r="E63" s="1622"/>
      <c r="F63" s="1623"/>
      <c r="G63" s="1621"/>
      <c r="H63" s="1622"/>
      <c r="I63" s="1624"/>
      <c r="J63" s="2474">
        <f t="shared" si="33"/>
        <v>0</v>
      </c>
      <c r="K63" s="937">
        <f t="shared" si="34"/>
        <v>0</v>
      </c>
      <c r="L63" s="2475">
        <f t="shared" si="35"/>
        <v>0</v>
      </c>
      <c r="M63" s="1166"/>
      <c r="N63" s="1623"/>
      <c r="O63" s="1621"/>
      <c r="P63" s="1622"/>
      <c r="Q63" s="973">
        <f t="shared" si="36"/>
        <v>0</v>
      </c>
      <c r="R63" s="1623"/>
      <c r="S63" s="1621"/>
      <c r="T63" s="1624"/>
      <c r="U63" s="2467">
        <f t="shared" si="4"/>
        <v>0</v>
      </c>
      <c r="V63" s="1624"/>
      <c r="W63" s="1621"/>
      <c r="X63" s="1626"/>
    </row>
    <row r="64" spans="1:24" ht="11.25" hidden="1" customHeight="1" x14ac:dyDescent="0.25">
      <c r="A64" s="1165">
        <f>'Org structure'!E60</f>
        <v>0</v>
      </c>
      <c r="B64" s="293"/>
      <c r="C64" s="1621"/>
      <c r="D64" s="1621"/>
      <c r="E64" s="1622"/>
      <c r="F64" s="1623"/>
      <c r="G64" s="1621"/>
      <c r="H64" s="1622"/>
      <c r="I64" s="1624"/>
      <c r="J64" s="2474">
        <f t="shared" si="33"/>
        <v>0</v>
      </c>
      <c r="K64" s="937">
        <f t="shared" si="34"/>
        <v>0</v>
      </c>
      <c r="L64" s="2475">
        <f t="shared" si="35"/>
        <v>0</v>
      </c>
      <c r="M64" s="1166"/>
      <c r="N64" s="1623"/>
      <c r="O64" s="1621"/>
      <c r="P64" s="1622"/>
      <c r="Q64" s="973">
        <f t="shared" si="36"/>
        <v>0</v>
      </c>
      <c r="R64" s="1623"/>
      <c r="S64" s="1621"/>
      <c r="T64" s="1624"/>
      <c r="U64" s="2467">
        <f t="shared" si="4"/>
        <v>0</v>
      </c>
      <c r="V64" s="1624"/>
      <c r="W64" s="1621"/>
      <c r="X64" s="1626"/>
    </row>
    <row r="65" spans="1:24" ht="11.25" hidden="1" customHeight="1" x14ac:dyDescent="0.25">
      <c r="A65" s="1165">
        <f>'Org structure'!E61</f>
        <v>0</v>
      </c>
      <c r="B65" s="293"/>
      <c r="C65" s="1621"/>
      <c r="D65" s="1621"/>
      <c r="E65" s="1622"/>
      <c r="F65" s="1623"/>
      <c r="G65" s="1621"/>
      <c r="H65" s="1622"/>
      <c r="I65" s="1624"/>
      <c r="J65" s="2474">
        <f t="shared" si="33"/>
        <v>0</v>
      </c>
      <c r="K65" s="937">
        <f t="shared" si="34"/>
        <v>0</v>
      </c>
      <c r="L65" s="2475">
        <f t="shared" si="35"/>
        <v>0</v>
      </c>
      <c r="M65" s="1166"/>
      <c r="N65" s="1623"/>
      <c r="O65" s="1621"/>
      <c r="P65" s="1622"/>
      <c r="Q65" s="973">
        <f t="shared" si="36"/>
        <v>0</v>
      </c>
      <c r="R65" s="1623"/>
      <c r="S65" s="1621"/>
      <c r="T65" s="1624"/>
      <c r="U65" s="2467">
        <f t="shared" si="4"/>
        <v>0</v>
      </c>
      <c r="V65" s="1624"/>
      <c r="W65" s="1621"/>
      <c r="X65" s="1626"/>
    </row>
    <row r="66" spans="1:24" ht="11.25" hidden="1" customHeight="1" x14ac:dyDescent="0.25">
      <c r="A66" s="1165">
        <f>'Org structure'!E62</f>
        <v>0</v>
      </c>
      <c r="B66" s="293"/>
      <c r="C66" s="1621"/>
      <c r="D66" s="1621"/>
      <c r="E66" s="1622"/>
      <c r="F66" s="1623"/>
      <c r="G66" s="1621"/>
      <c r="H66" s="1622"/>
      <c r="I66" s="1624"/>
      <c r="J66" s="2474">
        <f t="shared" si="33"/>
        <v>0</v>
      </c>
      <c r="K66" s="937">
        <f t="shared" si="34"/>
        <v>0</v>
      </c>
      <c r="L66" s="2475">
        <f t="shared" si="35"/>
        <v>0</v>
      </c>
      <c r="M66" s="1166"/>
      <c r="N66" s="1623"/>
      <c r="O66" s="1621"/>
      <c r="P66" s="1622"/>
      <c r="Q66" s="973">
        <f t="shared" si="36"/>
        <v>0</v>
      </c>
      <c r="R66" s="1623"/>
      <c r="S66" s="1621"/>
      <c r="T66" s="1624"/>
      <c r="U66" s="2467">
        <f t="shared" si="4"/>
        <v>0</v>
      </c>
      <c r="V66" s="1624"/>
      <c r="W66" s="1621"/>
      <c r="X66" s="1626"/>
    </row>
    <row r="67" spans="1:24" ht="11.25" hidden="1" customHeight="1" x14ac:dyDescent="0.25">
      <c r="A67" s="1165">
        <f>'Org structure'!E63</f>
        <v>0</v>
      </c>
      <c r="B67" s="293"/>
      <c r="C67" s="1621"/>
      <c r="D67" s="1621"/>
      <c r="E67" s="1622"/>
      <c r="F67" s="1623"/>
      <c r="G67" s="1621"/>
      <c r="H67" s="1622"/>
      <c r="I67" s="1624"/>
      <c r="J67" s="2474">
        <f t="shared" si="33"/>
        <v>0</v>
      </c>
      <c r="K67" s="937">
        <f t="shared" si="34"/>
        <v>0</v>
      </c>
      <c r="L67" s="2475">
        <f t="shared" si="35"/>
        <v>0</v>
      </c>
      <c r="M67" s="1166"/>
      <c r="N67" s="1623"/>
      <c r="O67" s="1621"/>
      <c r="P67" s="1622"/>
      <c r="Q67" s="973">
        <f t="shared" si="36"/>
        <v>0</v>
      </c>
      <c r="R67" s="1623"/>
      <c r="S67" s="1621"/>
      <c r="T67" s="1624"/>
      <c r="U67" s="2467">
        <f t="shared" si="4"/>
        <v>0</v>
      </c>
      <c r="V67" s="1624"/>
      <c r="W67" s="1621"/>
      <c r="X67" s="1626"/>
    </row>
    <row r="68" spans="1:24" ht="11.25" hidden="1" customHeight="1" x14ac:dyDescent="0.25">
      <c r="A68" s="1165">
        <f>'Org structure'!E64</f>
        <v>0</v>
      </c>
      <c r="B68" s="293"/>
      <c r="C68" s="1621"/>
      <c r="D68" s="1621"/>
      <c r="E68" s="1622"/>
      <c r="F68" s="1623"/>
      <c r="G68" s="1621"/>
      <c r="H68" s="1622"/>
      <c r="I68" s="1624"/>
      <c r="J68" s="2474">
        <f t="shared" si="33"/>
        <v>0</v>
      </c>
      <c r="K68" s="937">
        <f t="shared" si="34"/>
        <v>0</v>
      </c>
      <c r="L68" s="2475">
        <f t="shared" si="35"/>
        <v>0</v>
      </c>
      <c r="M68" s="1166"/>
      <c r="N68" s="1623"/>
      <c r="O68" s="1621"/>
      <c r="P68" s="1622"/>
      <c r="Q68" s="973">
        <f t="shared" si="36"/>
        <v>0</v>
      </c>
      <c r="R68" s="1623"/>
      <c r="S68" s="1621"/>
      <c r="T68" s="1624"/>
      <c r="U68" s="2467">
        <f t="shared" si="4"/>
        <v>0</v>
      </c>
      <c r="V68" s="1624"/>
      <c r="W68" s="1621"/>
      <c r="X68" s="1626"/>
    </row>
    <row r="69" spans="1:24" ht="11.25" hidden="1" customHeight="1" x14ac:dyDescent="0.25">
      <c r="A69" s="1165">
        <f>'Org structure'!E65</f>
        <v>0</v>
      </c>
      <c r="B69" s="293"/>
      <c r="C69" s="1621"/>
      <c r="D69" s="1621"/>
      <c r="E69" s="1622"/>
      <c r="F69" s="1623"/>
      <c r="G69" s="1621"/>
      <c r="H69" s="1622"/>
      <c r="I69" s="1624"/>
      <c r="J69" s="2474">
        <f t="shared" si="33"/>
        <v>0</v>
      </c>
      <c r="K69" s="937">
        <f t="shared" si="34"/>
        <v>0</v>
      </c>
      <c r="L69" s="2475">
        <f t="shared" si="35"/>
        <v>0</v>
      </c>
      <c r="M69" s="1166"/>
      <c r="N69" s="1623"/>
      <c r="O69" s="1621"/>
      <c r="P69" s="1622"/>
      <c r="Q69" s="973">
        <f t="shared" si="36"/>
        <v>0</v>
      </c>
      <c r="R69" s="1623"/>
      <c r="S69" s="1621"/>
      <c r="T69" s="1624"/>
      <c r="U69" s="2467">
        <f t="shared" si="4"/>
        <v>0</v>
      </c>
      <c r="V69" s="1624"/>
      <c r="W69" s="1621"/>
      <c r="X69" s="1626"/>
    </row>
    <row r="70" spans="1:24" ht="11.25" hidden="1" customHeight="1" x14ac:dyDescent="0.25">
      <c r="A70" s="1165">
        <f>'Org structure'!E66</f>
        <v>0</v>
      </c>
      <c r="B70" s="293"/>
      <c r="C70" s="1621"/>
      <c r="D70" s="1621"/>
      <c r="E70" s="1622"/>
      <c r="F70" s="1623"/>
      <c r="G70" s="1621"/>
      <c r="H70" s="1622"/>
      <c r="I70" s="1624"/>
      <c r="J70" s="2474">
        <f t="shared" si="33"/>
        <v>0</v>
      </c>
      <c r="K70" s="937">
        <f t="shared" si="34"/>
        <v>0</v>
      </c>
      <c r="L70" s="2475">
        <f t="shared" si="35"/>
        <v>0</v>
      </c>
      <c r="M70" s="1166"/>
      <c r="N70" s="1623"/>
      <c r="O70" s="1621"/>
      <c r="P70" s="1622"/>
      <c r="Q70" s="973">
        <f t="shared" si="36"/>
        <v>0</v>
      </c>
      <c r="R70" s="1623"/>
      <c r="S70" s="1621"/>
      <c r="T70" s="1624"/>
      <c r="U70" s="2467">
        <f t="shared" si="4"/>
        <v>0</v>
      </c>
      <c r="V70" s="1624"/>
      <c r="W70" s="1621"/>
      <c r="X70" s="1626"/>
    </row>
    <row r="71" spans="1:24" ht="11.25" hidden="1" customHeight="1" x14ac:dyDescent="0.25">
      <c r="A71" s="1165">
        <f>'Org structure'!E67</f>
        <v>0</v>
      </c>
      <c r="B71" s="293"/>
      <c r="C71" s="1621"/>
      <c r="D71" s="1621"/>
      <c r="E71" s="1622"/>
      <c r="F71" s="1623"/>
      <c r="G71" s="1621"/>
      <c r="H71" s="1622"/>
      <c r="I71" s="1624"/>
      <c r="J71" s="2474">
        <f t="shared" si="33"/>
        <v>0</v>
      </c>
      <c r="K71" s="937">
        <f t="shared" si="34"/>
        <v>0</v>
      </c>
      <c r="L71" s="2475">
        <f t="shared" si="35"/>
        <v>0</v>
      </c>
      <c r="M71" s="1166"/>
      <c r="N71" s="1623"/>
      <c r="O71" s="1621"/>
      <c r="P71" s="1622"/>
      <c r="Q71" s="973">
        <f t="shared" si="36"/>
        <v>0</v>
      </c>
      <c r="R71" s="1623"/>
      <c r="S71" s="1621"/>
      <c r="T71" s="1624"/>
      <c r="U71" s="2467">
        <f t="shared" si="4"/>
        <v>0</v>
      </c>
      <c r="V71" s="1624"/>
      <c r="W71" s="1621"/>
      <c r="X71" s="1626"/>
    </row>
    <row r="72" spans="1:24" ht="15" hidden="1" customHeight="1" x14ac:dyDescent="0.25">
      <c r="A72" s="1164" t="str">
        <f>'Org structure'!A8</f>
        <v>Vote 7 - 520 WASTE MANAGEMENT</v>
      </c>
      <c r="B72" s="976"/>
      <c r="C72" s="971">
        <f t="shared" ref="C72:L72" si="37">SUM(C73:C82)</f>
        <v>0</v>
      </c>
      <c r="D72" s="971">
        <f t="shared" si="37"/>
        <v>0</v>
      </c>
      <c r="E72" s="972">
        <f t="shared" si="37"/>
        <v>0</v>
      </c>
      <c r="F72" s="973">
        <f t="shared" si="37"/>
        <v>0</v>
      </c>
      <c r="G72" s="971">
        <f t="shared" si="37"/>
        <v>0</v>
      </c>
      <c r="H72" s="972">
        <f t="shared" si="37"/>
        <v>0</v>
      </c>
      <c r="I72" s="974">
        <f t="shared" si="37"/>
        <v>0</v>
      </c>
      <c r="J72" s="2474">
        <f t="shared" si="37"/>
        <v>0</v>
      </c>
      <c r="K72" s="937">
        <f t="shared" si="37"/>
        <v>0</v>
      </c>
      <c r="L72" s="2475">
        <f t="shared" si="37"/>
        <v>0</v>
      </c>
      <c r="M72" s="1166"/>
      <c r="N72" s="973">
        <f t="shared" ref="N72:X72" si="38">SUM(N73:N82)</f>
        <v>0</v>
      </c>
      <c r="O72" s="971">
        <f t="shared" si="38"/>
        <v>0</v>
      </c>
      <c r="P72" s="972">
        <f t="shared" si="38"/>
        <v>0</v>
      </c>
      <c r="Q72" s="973">
        <f t="shared" si="38"/>
        <v>0</v>
      </c>
      <c r="R72" s="973">
        <f t="shared" si="38"/>
        <v>0</v>
      </c>
      <c r="S72" s="971">
        <f t="shared" si="38"/>
        <v>0</v>
      </c>
      <c r="T72" s="2471">
        <f t="shared" si="38"/>
        <v>0</v>
      </c>
      <c r="U72" s="2467">
        <f t="shared" si="38"/>
        <v>0</v>
      </c>
      <c r="V72" s="2472">
        <f t="shared" si="38"/>
        <v>0</v>
      </c>
      <c r="W72" s="971">
        <f t="shared" si="38"/>
        <v>0</v>
      </c>
      <c r="X72" s="2473">
        <f t="shared" si="38"/>
        <v>0</v>
      </c>
    </row>
    <row r="73" spans="1:24" ht="11.25" hidden="1" customHeight="1" x14ac:dyDescent="0.25">
      <c r="A73" s="1165" t="str">
        <f>'Org structure'!E69</f>
        <v>7.1 - [Name of sub-vote]</v>
      </c>
      <c r="B73" s="293"/>
      <c r="C73" s="1621"/>
      <c r="D73" s="1621"/>
      <c r="E73" s="1622"/>
      <c r="F73" s="1623"/>
      <c r="G73" s="1621"/>
      <c r="H73" s="1622"/>
      <c r="I73" s="1624"/>
      <c r="J73" s="2474">
        <f t="shared" ref="J73:J82" si="39">Q73+V73</f>
        <v>0</v>
      </c>
      <c r="K73" s="937">
        <f t="shared" ref="K73:K82" si="40">U73+W73</f>
        <v>0</v>
      </c>
      <c r="L73" s="2475">
        <f t="shared" ref="L73:L82" si="41">X73</f>
        <v>0</v>
      </c>
      <c r="M73" s="1166"/>
      <c r="N73" s="1623"/>
      <c r="O73" s="1621"/>
      <c r="P73" s="1622"/>
      <c r="Q73" s="973">
        <f t="shared" ref="Q73:Q82" si="42">SUM(N73:P73)</f>
        <v>0</v>
      </c>
      <c r="R73" s="1623"/>
      <c r="S73" s="1621"/>
      <c r="T73" s="1624"/>
      <c r="U73" s="2467">
        <f t="shared" ref="U73:U135" si="43">SUM(R73:T73)</f>
        <v>0</v>
      </c>
      <c r="V73" s="1624"/>
      <c r="W73" s="1621"/>
      <c r="X73" s="1626"/>
    </row>
    <row r="74" spans="1:24" ht="11.25" hidden="1" customHeight="1" x14ac:dyDescent="0.25">
      <c r="A74" s="1165">
        <f>'Org structure'!E70</f>
        <v>0</v>
      </c>
      <c r="B74" s="293"/>
      <c r="C74" s="1621"/>
      <c r="D74" s="1621"/>
      <c r="E74" s="1622"/>
      <c r="F74" s="1623"/>
      <c r="G74" s="1621"/>
      <c r="H74" s="1622"/>
      <c r="I74" s="1624"/>
      <c r="J74" s="2474">
        <f t="shared" si="39"/>
        <v>0</v>
      </c>
      <c r="K74" s="937">
        <f t="shared" si="40"/>
        <v>0</v>
      </c>
      <c r="L74" s="2475">
        <f t="shared" si="41"/>
        <v>0</v>
      </c>
      <c r="M74" s="1166"/>
      <c r="N74" s="1623"/>
      <c r="O74" s="1621"/>
      <c r="P74" s="1622"/>
      <c r="Q74" s="973">
        <f t="shared" si="42"/>
        <v>0</v>
      </c>
      <c r="R74" s="1623"/>
      <c r="S74" s="1621"/>
      <c r="T74" s="1624"/>
      <c r="U74" s="2467">
        <f t="shared" si="43"/>
        <v>0</v>
      </c>
      <c r="V74" s="1624"/>
      <c r="W74" s="1621"/>
      <c r="X74" s="1626"/>
    </row>
    <row r="75" spans="1:24" ht="11.25" hidden="1" customHeight="1" x14ac:dyDescent="0.25">
      <c r="A75" s="1165">
        <f>'Org structure'!E71</f>
        <v>0</v>
      </c>
      <c r="B75" s="293"/>
      <c r="C75" s="1621"/>
      <c r="D75" s="1621"/>
      <c r="E75" s="1622"/>
      <c r="F75" s="1623"/>
      <c r="G75" s="1621"/>
      <c r="H75" s="1622"/>
      <c r="I75" s="1624"/>
      <c r="J75" s="2474">
        <f t="shared" si="39"/>
        <v>0</v>
      </c>
      <c r="K75" s="937">
        <f t="shared" si="40"/>
        <v>0</v>
      </c>
      <c r="L75" s="2475">
        <f t="shared" si="41"/>
        <v>0</v>
      </c>
      <c r="M75" s="1166"/>
      <c r="N75" s="1623"/>
      <c r="O75" s="1621"/>
      <c r="P75" s="1622"/>
      <c r="Q75" s="973">
        <f t="shared" si="42"/>
        <v>0</v>
      </c>
      <c r="R75" s="1623"/>
      <c r="S75" s="1621"/>
      <c r="T75" s="1624"/>
      <c r="U75" s="2467">
        <f t="shared" si="43"/>
        <v>0</v>
      </c>
      <c r="V75" s="1624"/>
      <c r="W75" s="1621"/>
      <c r="X75" s="1626"/>
    </row>
    <row r="76" spans="1:24" ht="11.25" hidden="1" customHeight="1" x14ac:dyDescent="0.25">
      <c r="A76" s="1165">
        <f>'Org structure'!E72</f>
        <v>0</v>
      </c>
      <c r="B76" s="293"/>
      <c r="C76" s="1621"/>
      <c r="D76" s="1621"/>
      <c r="E76" s="1622"/>
      <c r="F76" s="1623"/>
      <c r="G76" s="1621"/>
      <c r="H76" s="1622"/>
      <c r="I76" s="1624"/>
      <c r="J76" s="2474">
        <f t="shared" si="39"/>
        <v>0</v>
      </c>
      <c r="K76" s="937">
        <f t="shared" si="40"/>
        <v>0</v>
      </c>
      <c r="L76" s="2475">
        <f t="shared" si="41"/>
        <v>0</v>
      </c>
      <c r="M76" s="1166"/>
      <c r="N76" s="1623"/>
      <c r="O76" s="1621"/>
      <c r="P76" s="1622"/>
      <c r="Q76" s="973">
        <f t="shared" si="42"/>
        <v>0</v>
      </c>
      <c r="R76" s="1623"/>
      <c r="S76" s="1621"/>
      <c r="T76" s="1624"/>
      <c r="U76" s="2467">
        <f t="shared" si="43"/>
        <v>0</v>
      </c>
      <c r="V76" s="1624"/>
      <c r="W76" s="1621"/>
      <c r="X76" s="1626"/>
    </row>
    <row r="77" spans="1:24" ht="11.25" hidden="1" customHeight="1" x14ac:dyDescent="0.25">
      <c r="A77" s="1165">
        <f>'Org structure'!E73</f>
        <v>0</v>
      </c>
      <c r="B77" s="293"/>
      <c r="C77" s="1621"/>
      <c r="D77" s="1621"/>
      <c r="E77" s="1622"/>
      <c r="F77" s="1623"/>
      <c r="G77" s="1621"/>
      <c r="H77" s="1622"/>
      <c r="I77" s="1624"/>
      <c r="J77" s="2474">
        <f t="shared" si="39"/>
        <v>0</v>
      </c>
      <c r="K77" s="937">
        <f t="shared" si="40"/>
        <v>0</v>
      </c>
      <c r="L77" s="2475">
        <f t="shared" si="41"/>
        <v>0</v>
      </c>
      <c r="M77" s="1166"/>
      <c r="N77" s="1623"/>
      <c r="O77" s="1621"/>
      <c r="P77" s="1622"/>
      <c r="Q77" s="973">
        <f t="shared" si="42"/>
        <v>0</v>
      </c>
      <c r="R77" s="1623"/>
      <c r="S77" s="1621"/>
      <c r="T77" s="1624"/>
      <c r="U77" s="2467">
        <f t="shared" si="43"/>
        <v>0</v>
      </c>
      <c r="V77" s="1624"/>
      <c r="W77" s="1621"/>
      <c r="X77" s="1626"/>
    </row>
    <row r="78" spans="1:24" ht="11.25" hidden="1" customHeight="1" x14ac:dyDescent="0.25">
      <c r="A78" s="1165">
        <f>'Org structure'!E74</f>
        <v>0</v>
      </c>
      <c r="B78" s="293"/>
      <c r="C78" s="1621"/>
      <c r="D78" s="1621"/>
      <c r="E78" s="1622"/>
      <c r="F78" s="1623"/>
      <c r="G78" s="1621"/>
      <c r="H78" s="1622"/>
      <c r="I78" s="1624"/>
      <c r="J78" s="2474">
        <f t="shared" si="39"/>
        <v>0</v>
      </c>
      <c r="K78" s="937">
        <f t="shared" si="40"/>
        <v>0</v>
      </c>
      <c r="L78" s="2475">
        <f t="shared" si="41"/>
        <v>0</v>
      </c>
      <c r="M78" s="1166"/>
      <c r="N78" s="1623"/>
      <c r="O78" s="1621"/>
      <c r="P78" s="1622"/>
      <c r="Q78" s="973">
        <f t="shared" si="42"/>
        <v>0</v>
      </c>
      <c r="R78" s="1623"/>
      <c r="S78" s="1621"/>
      <c r="T78" s="1624"/>
      <c r="U78" s="2467">
        <f t="shared" si="43"/>
        <v>0</v>
      </c>
      <c r="V78" s="1624"/>
      <c r="W78" s="1621"/>
      <c r="X78" s="1626"/>
    </row>
    <row r="79" spans="1:24" ht="11.25" hidden="1" customHeight="1" x14ac:dyDescent="0.25">
      <c r="A79" s="1165">
        <f>'Org structure'!E75</f>
        <v>0</v>
      </c>
      <c r="B79" s="293"/>
      <c r="C79" s="1621"/>
      <c r="D79" s="1621"/>
      <c r="E79" s="1622"/>
      <c r="F79" s="1623"/>
      <c r="G79" s="1621"/>
      <c r="H79" s="1622"/>
      <c r="I79" s="1624"/>
      <c r="J79" s="2474">
        <f t="shared" si="39"/>
        <v>0</v>
      </c>
      <c r="K79" s="937">
        <f t="shared" si="40"/>
        <v>0</v>
      </c>
      <c r="L79" s="2475">
        <f t="shared" si="41"/>
        <v>0</v>
      </c>
      <c r="M79" s="1166"/>
      <c r="N79" s="1623"/>
      <c r="O79" s="1621"/>
      <c r="P79" s="1622"/>
      <c r="Q79" s="973">
        <f t="shared" si="42"/>
        <v>0</v>
      </c>
      <c r="R79" s="1623"/>
      <c r="S79" s="1621"/>
      <c r="T79" s="1624"/>
      <c r="U79" s="2467">
        <f t="shared" si="43"/>
        <v>0</v>
      </c>
      <c r="V79" s="1624"/>
      <c r="W79" s="1621"/>
      <c r="X79" s="1626"/>
    </row>
    <row r="80" spans="1:24" ht="11.25" hidden="1" customHeight="1" x14ac:dyDescent="0.25">
      <c r="A80" s="1165">
        <f>'Org structure'!E76</f>
        <v>0</v>
      </c>
      <c r="B80" s="293"/>
      <c r="C80" s="1621"/>
      <c r="D80" s="1621"/>
      <c r="E80" s="1622"/>
      <c r="F80" s="1623"/>
      <c r="G80" s="1621"/>
      <c r="H80" s="1622"/>
      <c r="I80" s="1624"/>
      <c r="J80" s="2474">
        <f t="shared" si="39"/>
        <v>0</v>
      </c>
      <c r="K80" s="937">
        <f t="shared" si="40"/>
        <v>0</v>
      </c>
      <c r="L80" s="2475">
        <f t="shared" si="41"/>
        <v>0</v>
      </c>
      <c r="M80" s="1166"/>
      <c r="N80" s="1623"/>
      <c r="O80" s="1621"/>
      <c r="P80" s="1622"/>
      <c r="Q80" s="973">
        <f t="shared" si="42"/>
        <v>0</v>
      </c>
      <c r="R80" s="1623"/>
      <c r="S80" s="1621"/>
      <c r="T80" s="1624"/>
      <c r="U80" s="2467">
        <f t="shared" si="43"/>
        <v>0</v>
      </c>
      <c r="V80" s="1624"/>
      <c r="W80" s="1621"/>
      <c r="X80" s="1626"/>
    </row>
    <row r="81" spans="1:24" ht="11.25" hidden="1" customHeight="1" x14ac:dyDescent="0.25">
      <c r="A81" s="1165">
        <f>'Org structure'!E77</f>
        <v>0</v>
      </c>
      <c r="B81" s="293"/>
      <c r="C81" s="1621"/>
      <c r="D81" s="1621"/>
      <c r="E81" s="1622"/>
      <c r="F81" s="1623"/>
      <c r="G81" s="1621"/>
      <c r="H81" s="1622"/>
      <c r="I81" s="1624"/>
      <c r="J81" s="2474">
        <f t="shared" si="39"/>
        <v>0</v>
      </c>
      <c r="K81" s="937">
        <f t="shared" si="40"/>
        <v>0</v>
      </c>
      <c r="L81" s="2475">
        <f t="shared" si="41"/>
        <v>0</v>
      </c>
      <c r="M81" s="1166"/>
      <c r="N81" s="1623"/>
      <c r="O81" s="1621"/>
      <c r="P81" s="1622"/>
      <c r="Q81" s="973">
        <f t="shared" si="42"/>
        <v>0</v>
      </c>
      <c r="R81" s="1623"/>
      <c r="S81" s="1621"/>
      <c r="T81" s="1624"/>
      <c r="U81" s="2467">
        <f t="shared" si="43"/>
        <v>0</v>
      </c>
      <c r="V81" s="1624"/>
      <c r="W81" s="1621"/>
      <c r="X81" s="1626"/>
    </row>
    <row r="82" spans="1:24" ht="11.25" hidden="1" customHeight="1" x14ac:dyDescent="0.25">
      <c r="A82" s="1165">
        <f>'Org structure'!E78</f>
        <v>0</v>
      </c>
      <c r="B82" s="293"/>
      <c r="C82" s="1621"/>
      <c r="D82" s="1621"/>
      <c r="E82" s="1622"/>
      <c r="F82" s="1623"/>
      <c r="G82" s="1621"/>
      <c r="H82" s="1622"/>
      <c r="I82" s="1624"/>
      <c r="J82" s="2474">
        <f t="shared" si="39"/>
        <v>0</v>
      </c>
      <c r="K82" s="937">
        <f t="shared" si="40"/>
        <v>0</v>
      </c>
      <c r="L82" s="2475">
        <f t="shared" si="41"/>
        <v>0</v>
      </c>
      <c r="M82" s="1166"/>
      <c r="N82" s="1623"/>
      <c r="O82" s="1621"/>
      <c r="P82" s="1622"/>
      <c r="Q82" s="973">
        <f t="shared" si="42"/>
        <v>0</v>
      </c>
      <c r="R82" s="1623"/>
      <c r="S82" s="1621"/>
      <c r="T82" s="1624"/>
      <c r="U82" s="2467">
        <f t="shared" si="43"/>
        <v>0</v>
      </c>
      <c r="V82" s="1624"/>
      <c r="W82" s="1621"/>
      <c r="X82" s="1626"/>
    </row>
    <row r="83" spans="1:24" ht="15" hidden="1" customHeight="1" x14ac:dyDescent="0.25">
      <c r="A83" s="1164" t="str">
        <f>'Org structure'!A9</f>
        <v>Vote 8 - 530 ELECTRICITY SERVICES</v>
      </c>
      <c r="B83" s="293"/>
      <c r="C83" s="971">
        <f t="shared" ref="C83:L83" si="44">SUM(C84:C93)</f>
        <v>0</v>
      </c>
      <c r="D83" s="971">
        <f t="shared" si="44"/>
        <v>0</v>
      </c>
      <c r="E83" s="972">
        <f t="shared" si="44"/>
        <v>0</v>
      </c>
      <c r="F83" s="973">
        <f t="shared" si="44"/>
        <v>0</v>
      </c>
      <c r="G83" s="971">
        <f t="shared" si="44"/>
        <v>0</v>
      </c>
      <c r="H83" s="972">
        <f t="shared" si="44"/>
        <v>0</v>
      </c>
      <c r="I83" s="974">
        <f t="shared" si="44"/>
        <v>0</v>
      </c>
      <c r="J83" s="2474">
        <f t="shared" si="44"/>
        <v>0</v>
      </c>
      <c r="K83" s="937">
        <f t="shared" si="44"/>
        <v>0</v>
      </c>
      <c r="L83" s="2475">
        <f t="shared" si="44"/>
        <v>0</v>
      </c>
      <c r="M83" s="320"/>
      <c r="N83" s="973">
        <f t="shared" ref="N83:X83" si="45">SUM(N84:N93)</f>
        <v>0</v>
      </c>
      <c r="O83" s="971">
        <f t="shared" si="45"/>
        <v>0</v>
      </c>
      <c r="P83" s="972">
        <f t="shared" si="45"/>
        <v>0</v>
      </c>
      <c r="Q83" s="973">
        <f t="shared" si="45"/>
        <v>0</v>
      </c>
      <c r="R83" s="973">
        <f t="shared" si="45"/>
        <v>0</v>
      </c>
      <c r="S83" s="971">
        <f t="shared" si="45"/>
        <v>0</v>
      </c>
      <c r="T83" s="2471">
        <f t="shared" si="45"/>
        <v>0</v>
      </c>
      <c r="U83" s="2467">
        <f t="shared" si="45"/>
        <v>0</v>
      </c>
      <c r="V83" s="2472">
        <f t="shared" si="45"/>
        <v>0</v>
      </c>
      <c r="W83" s="971">
        <f t="shared" si="45"/>
        <v>0</v>
      </c>
      <c r="X83" s="2473">
        <f t="shared" si="45"/>
        <v>0</v>
      </c>
    </row>
    <row r="84" spans="1:24" ht="11.25" hidden="1" customHeight="1" x14ac:dyDescent="0.25">
      <c r="A84" s="1165" t="str">
        <f>'Org structure'!E80</f>
        <v>8.1 - [Name of sub-vote]</v>
      </c>
      <c r="B84" s="293"/>
      <c r="C84" s="1621"/>
      <c r="D84" s="1621"/>
      <c r="E84" s="1624"/>
      <c r="F84" s="1623"/>
      <c r="G84" s="1621"/>
      <c r="H84" s="1622"/>
      <c r="I84" s="1624"/>
      <c r="J84" s="2474">
        <f t="shared" ref="J84:J93" si="46">Q84+V84</f>
        <v>0</v>
      </c>
      <c r="K84" s="937">
        <f t="shared" ref="K84:K93" si="47">U84+W84</f>
        <v>0</v>
      </c>
      <c r="L84" s="2475">
        <f t="shared" ref="L84:L93" si="48">X84</f>
        <v>0</v>
      </c>
      <c r="M84" s="320"/>
      <c r="N84" s="1623"/>
      <c r="O84" s="1621"/>
      <c r="P84" s="1622"/>
      <c r="Q84" s="973">
        <f t="shared" ref="Q84:Q93" si="49">SUM(N84:P84)</f>
        <v>0</v>
      </c>
      <c r="R84" s="1623"/>
      <c r="S84" s="1621"/>
      <c r="T84" s="1624"/>
      <c r="U84" s="2467">
        <f t="shared" si="43"/>
        <v>0</v>
      </c>
      <c r="V84" s="1624"/>
      <c r="W84" s="1621"/>
      <c r="X84" s="1626"/>
    </row>
    <row r="85" spans="1:24" ht="11.25" hidden="1" customHeight="1" x14ac:dyDescent="0.25">
      <c r="A85" s="1165">
        <f>'Org structure'!E81</f>
        <v>0</v>
      </c>
      <c r="B85" s="293"/>
      <c r="C85" s="1621"/>
      <c r="D85" s="1621"/>
      <c r="E85" s="1624"/>
      <c r="F85" s="1623"/>
      <c r="G85" s="1621"/>
      <c r="H85" s="1622"/>
      <c r="I85" s="1624"/>
      <c r="J85" s="2474">
        <f t="shared" si="46"/>
        <v>0</v>
      </c>
      <c r="K85" s="937">
        <f t="shared" si="47"/>
        <v>0</v>
      </c>
      <c r="L85" s="2475">
        <f t="shared" si="48"/>
        <v>0</v>
      </c>
      <c r="M85" s="320"/>
      <c r="N85" s="1623"/>
      <c r="O85" s="1621"/>
      <c r="P85" s="1622"/>
      <c r="Q85" s="973">
        <f t="shared" si="49"/>
        <v>0</v>
      </c>
      <c r="R85" s="1623"/>
      <c r="S85" s="1621"/>
      <c r="T85" s="1624"/>
      <c r="U85" s="2467">
        <f t="shared" si="43"/>
        <v>0</v>
      </c>
      <c r="V85" s="1624"/>
      <c r="W85" s="1621"/>
      <c r="X85" s="1626"/>
    </row>
    <row r="86" spans="1:24" ht="11.25" hidden="1" customHeight="1" x14ac:dyDescent="0.25">
      <c r="A86" s="1165">
        <f>'Org structure'!E82</f>
        <v>0</v>
      </c>
      <c r="B86" s="293"/>
      <c r="C86" s="1621"/>
      <c r="D86" s="1621"/>
      <c r="E86" s="1624"/>
      <c r="F86" s="1623"/>
      <c r="G86" s="1621"/>
      <c r="H86" s="1622"/>
      <c r="I86" s="1624"/>
      <c r="J86" s="2474">
        <f t="shared" si="46"/>
        <v>0</v>
      </c>
      <c r="K86" s="937">
        <f t="shared" si="47"/>
        <v>0</v>
      </c>
      <c r="L86" s="2475">
        <f t="shared" si="48"/>
        <v>0</v>
      </c>
      <c r="M86" s="320"/>
      <c r="N86" s="1623"/>
      <c r="O86" s="1621"/>
      <c r="P86" s="1622"/>
      <c r="Q86" s="973">
        <f t="shared" si="49"/>
        <v>0</v>
      </c>
      <c r="R86" s="1623"/>
      <c r="S86" s="1621"/>
      <c r="T86" s="1624"/>
      <c r="U86" s="2467">
        <f t="shared" si="43"/>
        <v>0</v>
      </c>
      <c r="V86" s="1624"/>
      <c r="W86" s="1621"/>
      <c r="X86" s="1626"/>
    </row>
    <row r="87" spans="1:24" ht="11.25" hidden="1" customHeight="1" x14ac:dyDescent="0.25">
      <c r="A87" s="1165">
        <f>'Org structure'!E83</f>
        <v>0</v>
      </c>
      <c r="B87" s="293"/>
      <c r="C87" s="1621"/>
      <c r="D87" s="1621"/>
      <c r="E87" s="1624"/>
      <c r="F87" s="1623"/>
      <c r="G87" s="1621"/>
      <c r="H87" s="1622"/>
      <c r="I87" s="1624"/>
      <c r="J87" s="2474">
        <f t="shared" si="46"/>
        <v>0</v>
      </c>
      <c r="K87" s="937">
        <f t="shared" si="47"/>
        <v>0</v>
      </c>
      <c r="L87" s="2475">
        <f t="shared" si="48"/>
        <v>0</v>
      </c>
      <c r="M87" s="320"/>
      <c r="N87" s="1623"/>
      <c r="O87" s="1621"/>
      <c r="P87" s="1622"/>
      <c r="Q87" s="973">
        <f t="shared" si="49"/>
        <v>0</v>
      </c>
      <c r="R87" s="1623"/>
      <c r="S87" s="1621"/>
      <c r="T87" s="1624"/>
      <c r="U87" s="2467">
        <f t="shared" si="43"/>
        <v>0</v>
      </c>
      <c r="V87" s="1624"/>
      <c r="W87" s="1621"/>
      <c r="X87" s="1626"/>
    </row>
    <row r="88" spans="1:24" ht="11.25" hidden="1" customHeight="1" x14ac:dyDescent="0.25">
      <c r="A88" s="1165">
        <f>'Org structure'!E84</f>
        <v>0</v>
      </c>
      <c r="B88" s="293"/>
      <c r="C88" s="1621"/>
      <c r="D88" s="1621"/>
      <c r="E88" s="1624"/>
      <c r="F88" s="1623"/>
      <c r="G88" s="1621"/>
      <c r="H88" s="1622"/>
      <c r="I88" s="1624"/>
      <c r="J88" s="2474">
        <f t="shared" si="46"/>
        <v>0</v>
      </c>
      <c r="K88" s="937">
        <f t="shared" si="47"/>
        <v>0</v>
      </c>
      <c r="L88" s="2475">
        <f t="shared" si="48"/>
        <v>0</v>
      </c>
      <c r="M88" s="320"/>
      <c r="N88" s="1623"/>
      <c r="O88" s="1621"/>
      <c r="P88" s="1622"/>
      <c r="Q88" s="973">
        <f t="shared" si="49"/>
        <v>0</v>
      </c>
      <c r="R88" s="1623"/>
      <c r="S88" s="1621"/>
      <c r="T88" s="1624"/>
      <c r="U88" s="2467">
        <f t="shared" si="43"/>
        <v>0</v>
      </c>
      <c r="V88" s="1624"/>
      <c r="W88" s="1621"/>
      <c r="X88" s="1626"/>
    </row>
    <row r="89" spans="1:24" ht="11.25" hidden="1" customHeight="1" x14ac:dyDescent="0.25">
      <c r="A89" s="1165">
        <f>'Org structure'!E85</f>
        <v>0</v>
      </c>
      <c r="B89" s="293"/>
      <c r="C89" s="1621"/>
      <c r="D89" s="1621"/>
      <c r="E89" s="1624"/>
      <c r="F89" s="1623"/>
      <c r="G89" s="1621"/>
      <c r="H89" s="1622"/>
      <c r="I89" s="1624"/>
      <c r="J89" s="2474">
        <f t="shared" si="46"/>
        <v>0</v>
      </c>
      <c r="K89" s="937">
        <f t="shared" si="47"/>
        <v>0</v>
      </c>
      <c r="L89" s="2475">
        <f t="shared" si="48"/>
        <v>0</v>
      </c>
      <c r="M89" s="320"/>
      <c r="N89" s="1623"/>
      <c r="O89" s="1621"/>
      <c r="P89" s="1622"/>
      <c r="Q89" s="973">
        <f t="shared" si="49"/>
        <v>0</v>
      </c>
      <c r="R89" s="1623"/>
      <c r="S89" s="1621"/>
      <c r="T89" s="1624"/>
      <c r="U89" s="2467">
        <f t="shared" si="43"/>
        <v>0</v>
      </c>
      <c r="V89" s="1624"/>
      <c r="W89" s="1621"/>
      <c r="X89" s="1626"/>
    </row>
    <row r="90" spans="1:24" ht="11.25" hidden="1" customHeight="1" x14ac:dyDescent="0.25">
      <c r="A90" s="1165">
        <f>'Org structure'!E86</f>
        <v>0</v>
      </c>
      <c r="B90" s="293"/>
      <c r="C90" s="1621"/>
      <c r="D90" s="1621"/>
      <c r="E90" s="1624"/>
      <c r="F90" s="1623"/>
      <c r="G90" s="1621"/>
      <c r="H90" s="1622"/>
      <c r="I90" s="1624"/>
      <c r="J90" s="2474">
        <f t="shared" si="46"/>
        <v>0</v>
      </c>
      <c r="K90" s="937">
        <f t="shared" si="47"/>
        <v>0</v>
      </c>
      <c r="L90" s="2475">
        <f t="shared" si="48"/>
        <v>0</v>
      </c>
      <c r="M90" s="320"/>
      <c r="N90" s="1623"/>
      <c r="O90" s="1621"/>
      <c r="P90" s="1622"/>
      <c r="Q90" s="973">
        <f t="shared" si="49"/>
        <v>0</v>
      </c>
      <c r="R90" s="1623"/>
      <c r="S90" s="1621"/>
      <c r="T90" s="1624"/>
      <c r="U90" s="2467">
        <f t="shared" si="43"/>
        <v>0</v>
      </c>
      <c r="V90" s="1624"/>
      <c r="W90" s="1621"/>
      <c r="X90" s="1626"/>
    </row>
    <row r="91" spans="1:24" ht="11.25" hidden="1" customHeight="1" x14ac:dyDescent="0.25">
      <c r="A91" s="1165">
        <f>'Org structure'!E87</f>
        <v>0</v>
      </c>
      <c r="B91" s="293"/>
      <c r="C91" s="1621"/>
      <c r="D91" s="1621"/>
      <c r="E91" s="1624"/>
      <c r="F91" s="1623"/>
      <c r="G91" s="1621"/>
      <c r="H91" s="1622"/>
      <c r="I91" s="1624"/>
      <c r="J91" s="2474">
        <f t="shared" si="46"/>
        <v>0</v>
      </c>
      <c r="K91" s="937">
        <f t="shared" si="47"/>
        <v>0</v>
      </c>
      <c r="L91" s="2475">
        <f t="shared" si="48"/>
        <v>0</v>
      </c>
      <c r="M91" s="320"/>
      <c r="N91" s="1623"/>
      <c r="O91" s="1621"/>
      <c r="P91" s="1622"/>
      <c r="Q91" s="973">
        <f t="shared" si="49"/>
        <v>0</v>
      </c>
      <c r="R91" s="1623"/>
      <c r="S91" s="1621"/>
      <c r="T91" s="1624"/>
      <c r="U91" s="2467">
        <f t="shared" si="43"/>
        <v>0</v>
      </c>
      <c r="V91" s="1624"/>
      <c r="W91" s="1621"/>
      <c r="X91" s="1626"/>
    </row>
    <row r="92" spans="1:24" ht="11.25" hidden="1" customHeight="1" x14ac:dyDescent="0.25">
      <c r="A92" s="1165">
        <f>'Org structure'!E88</f>
        <v>0</v>
      </c>
      <c r="B92" s="293"/>
      <c r="C92" s="1621"/>
      <c r="D92" s="1621"/>
      <c r="E92" s="1624"/>
      <c r="F92" s="1623"/>
      <c r="G92" s="1621"/>
      <c r="H92" s="1622"/>
      <c r="I92" s="1624"/>
      <c r="J92" s="2474">
        <f t="shared" si="46"/>
        <v>0</v>
      </c>
      <c r="K92" s="937">
        <f t="shared" si="47"/>
        <v>0</v>
      </c>
      <c r="L92" s="2475">
        <f t="shared" si="48"/>
        <v>0</v>
      </c>
      <c r="M92" s="320"/>
      <c r="N92" s="1623"/>
      <c r="O92" s="1621"/>
      <c r="P92" s="1622"/>
      <c r="Q92" s="973">
        <f t="shared" si="49"/>
        <v>0</v>
      </c>
      <c r="R92" s="1623"/>
      <c r="S92" s="1621"/>
      <c r="T92" s="1624"/>
      <c r="U92" s="2467">
        <f t="shared" si="43"/>
        <v>0</v>
      </c>
      <c r="V92" s="1624"/>
      <c r="W92" s="1621"/>
      <c r="X92" s="1626"/>
    </row>
    <row r="93" spans="1:24" ht="11.25" hidden="1" customHeight="1" x14ac:dyDescent="0.25">
      <c r="A93" s="1165">
        <f>'Org structure'!E89</f>
        <v>0</v>
      </c>
      <c r="B93" s="293"/>
      <c r="C93" s="1621"/>
      <c r="D93" s="1621"/>
      <c r="E93" s="1624"/>
      <c r="F93" s="1623"/>
      <c r="G93" s="1621"/>
      <c r="H93" s="1622"/>
      <c r="I93" s="1624"/>
      <c r="J93" s="2474">
        <f t="shared" si="46"/>
        <v>0</v>
      </c>
      <c r="K93" s="937">
        <f t="shared" si="47"/>
        <v>0</v>
      </c>
      <c r="L93" s="2475">
        <f t="shared" si="48"/>
        <v>0</v>
      </c>
      <c r="M93" s="320"/>
      <c r="N93" s="1623"/>
      <c r="O93" s="1621"/>
      <c r="P93" s="1622"/>
      <c r="Q93" s="973">
        <f t="shared" si="49"/>
        <v>0</v>
      </c>
      <c r="R93" s="1623"/>
      <c r="S93" s="1621"/>
      <c r="T93" s="1624"/>
      <c r="U93" s="2467">
        <f t="shared" si="43"/>
        <v>0</v>
      </c>
      <c r="V93" s="1624"/>
      <c r="W93" s="1621"/>
      <c r="X93" s="1626"/>
    </row>
    <row r="94" spans="1:24" ht="15" hidden="1" customHeight="1" x14ac:dyDescent="0.25">
      <c r="A94" s="1164" t="str">
        <f>'Org structure'!A10</f>
        <v>Vote 9 - 540 WATER SERVICES</v>
      </c>
      <c r="B94" s="293"/>
      <c r="C94" s="971">
        <f>SUM(C95:C104)</f>
        <v>0</v>
      </c>
      <c r="D94" s="971">
        <f t="shared" ref="D94:L94" si="50">SUM(D95:D104)</f>
        <v>0</v>
      </c>
      <c r="E94" s="972">
        <f t="shared" si="50"/>
        <v>0</v>
      </c>
      <c r="F94" s="973">
        <f t="shared" si="50"/>
        <v>0</v>
      </c>
      <c r="G94" s="971">
        <f t="shared" si="50"/>
        <v>0</v>
      </c>
      <c r="H94" s="972">
        <f t="shared" si="50"/>
        <v>0</v>
      </c>
      <c r="I94" s="974">
        <f t="shared" si="50"/>
        <v>0</v>
      </c>
      <c r="J94" s="2474">
        <f t="shared" si="50"/>
        <v>0</v>
      </c>
      <c r="K94" s="937">
        <f t="shared" si="50"/>
        <v>0</v>
      </c>
      <c r="L94" s="2475">
        <f t="shared" si="50"/>
        <v>0</v>
      </c>
      <c r="M94" s="320"/>
      <c r="N94" s="973">
        <f t="shared" ref="N94:X94" si="51">SUM(N95:N104)</f>
        <v>0</v>
      </c>
      <c r="O94" s="971">
        <f t="shared" si="51"/>
        <v>0</v>
      </c>
      <c r="P94" s="972">
        <f t="shared" si="51"/>
        <v>0</v>
      </c>
      <c r="Q94" s="973">
        <f t="shared" si="51"/>
        <v>0</v>
      </c>
      <c r="R94" s="973">
        <f t="shared" si="51"/>
        <v>0</v>
      </c>
      <c r="S94" s="971">
        <f t="shared" si="51"/>
        <v>0</v>
      </c>
      <c r="T94" s="2471">
        <f t="shared" si="51"/>
        <v>0</v>
      </c>
      <c r="U94" s="2467">
        <f t="shared" si="51"/>
        <v>0</v>
      </c>
      <c r="V94" s="2472">
        <f t="shared" si="51"/>
        <v>0</v>
      </c>
      <c r="W94" s="971">
        <f t="shared" si="51"/>
        <v>0</v>
      </c>
      <c r="X94" s="2473">
        <f t="shared" si="51"/>
        <v>0</v>
      </c>
    </row>
    <row r="95" spans="1:24" ht="11.25" hidden="1" customHeight="1" x14ac:dyDescent="0.25">
      <c r="A95" s="1165" t="str">
        <f>'Org structure'!E91</f>
        <v>9.1 - [Name of sub-vote]</v>
      </c>
      <c r="B95" s="293"/>
      <c r="C95" s="1621"/>
      <c r="D95" s="1621"/>
      <c r="E95" s="1624"/>
      <c r="F95" s="1623"/>
      <c r="G95" s="1621"/>
      <c r="H95" s="1622"/>
      <c r="I95" s="1624"/>
      <c r="J95" s="2474">
        <f t="shared" ref="J95:J104" si="52">Q95+V95</f>
        <v>0</v>
      </c>
      <c r="K95" s="937">
        <f t="shared" ref="K95:K104" si="53">U95+W95</f>
        <v>0</v>
      </c>
      <c r="L95" s="2475">
        <f t="shared" ref="L95:L104" si="54">X95</f>
        <v>0</v>
      </c>
      <c r="M95" s="320"/>
      <c r="N95" s="1623"/>
      <c r="O95" s="1621"/>
      <c r="P95" s="1622"/>
      <c r="Q95" s="973">
        <f t="shared" ref="Q95:Q104" si="55">SUM(N95:P95)</f>
        <v>0</v>
      </c>
      <c r="R95" s="1623"/>
      <c r="S95" s="1621"/>
      <c r="T95" s="1624"/>
      <c r="U95" s="2467">
        <f t="shared" si="43"/>
        <v>0</v>
      </c>
      <c r="V95" s="1624"/>
      <c r="W95" s="1621"/>
      <c r="X95" s="1626"/>
    </row>
    <row r="96" spans="1:24" ht="11.25" hidden="1" customHeight="1" x14ac:dyDescent="0.25">
      <c r="A96" s="1165">
        <f>'Org structure'!E92</f>
        <v>0</v>
      </c>
      <c r="B96" s="293"/>
      <c r="C96" s="1621"/>
      <c r="D96" s="1621"/>
      <c r="E96" s="1624"/>
      <c r="F96" s="1623"/>
      <c r="G96" s="1621"/>
      <c r="H96" s="1622"/>
      <c r="I96" s="1624"/>
      <c r="J96" s="2474">
        <f t="shared" si="52"/>
        <v>0</v>
      </c>
      <c r="K96" s="937">
        <f t="shared" si="53"/>
        <v>0</v>
      </c>
      <c r="L96" s="2475">
        <f t="shared" si="54"/>
        <v>0</v>
      </c>
      <c r="M96" s="320"/>
      <c r="N96" s="1623"/>
      <c r="O96" s="1621"/>
      <c r="P96" s="1622"/>
      <c r="Q96" s="973">
        <f t="shared" si="55"/>
        <v>0</v>
      </c>
      <c r="R96" s="1623"/>
      <c r="S96" s="1621"/>
      <c r="T96" s="1624"/>
      <c r="U96" s="2467">
        <f t="shared" si="43"/>
        <v>0</v>
      </c>
      <c r="V96" s="1624"/>
      <c r="W96" s="1621"/>
      <c r="X96" s="1626"/>
    </row>
    <row r="97" spans="1:24" ht="11.25" hidden="1" customHeight="1" x14ac:dyDescent="0.25">
      <c r="A97" s="1165">
        <f>'Org structure'!E93</f>
        <v>0</v>
      </c>
      <c r="B97" s="293"/>
      <c r="C97" s="1621"/>
      <c r="D97" s="1621"/>
      <c r="E97" s="1624"/>
      <c r="F97" s="1623"/>
      <c r="G97" s="1621"/>
      <c r="H97" s="1622"/>
      <c r="I97" s="1624"/>
      <c r="J97" s="2474">
        <f t="shared" si="52"/>
        <v>0</v>
      </c>
      <c r="K97" s="937">
        <f t="shared" si="53"/>
        <v>0</v>
      </c>
      <c r="L97" s="2475">
        <f t="shared" si="54"/>
        <v>0</v>
      </c>
      <c r="M97" s="320"/>
      <c r="N97" s="1623"/>
      <c r="O97" s="1621"/>
      <c r="P97" s="1622"/>
      <c r="Q97" s="973">
        <f t="shared" si="55"/>
        <v>0</v>
      </c>
      <c r="R97" s="1623"/>
      <c r="S97" s="1621"/>
      <c r="T97" s="1624"/>
      <c r="U97" s="2467">
        <f t="shared" si="43"/>
        <v>0</v>
      </c>
      <c r="V97" s="1624"/>
      <c r="W97" s="1621"/>
      <c r="X97" s="1626"/>
    </row>
    <row r="98" spans="1:24" ht="11.25" hidden="1" customHeight="1" x14ac:dyDescent="0.25">
      <c r="A98" s="1165">
        <f>'Org structure'!E94</f>
        <v>0</v>
      </c>
      <c r="B98" s="293"/>
      <c r="C98" s="1621"/>
      <c r="D98" s="1621"/>
      <c r="E98" s="1624"/>
      <c r="F98" s="1623"/>
      <c r="G98" s="1621"/>
      <c r="H98" s="1622"/>
      <c r="I98" s="1624"/>
      <c r="J98" s="2474">
        <f t="shared" si="52"/>
        <v>0</v>
      </c>
      <c r="K98" s="937">
        <f t="shared" si="53"/>
        <v>0</v>
      </c>
      <c r="L98" s="2475">
        <f t="shared" si="54"/>
        <v>0</v>
      </c>
      <c r="M98" s="320"/>
      <c r="N98" s="1623"/>
      <c r="O98" s="1621"/>
      <c r="P98" s="1622"/>
      <c r="Q98" s="973">
        <f t="shared" si="55"/>
        <v>0</v>
      </c>
      <c r="R98" s="1623"/>
      <c r="S98" s="1621"/>
      <c r="T98" s="1624"/>
      <c r="U98" s="2467">
        <f t="shared" si="43"/>
        <v>0</v>
      </c>
      <c r="V98" s="1624"/>
      <c r="W98" s="1621"/>
      <c r="X98" s="1626"/>
    </row>
    <row r="99" spans="1:24" ht="11.25" hidden="1" customHeight="1" x14ac:dyDescent="0.25">
      <c r="A99" s="1165">
        <f>'Org structure'!E95</f>
        <v>0</v>
      </c>
      <c r="B99" s="293"/>
      <c r="C99" s="1621"/>
      <c r="D99" s="1621"/>
      <c r="E99" s="1624"/>
      <c r="F99" s="1623"/>
      <c r="G99" s="1621"/>
      <c r="H99" s="1622"/>
      <c r="I99" s="1624"/>
      <c r="J99" s="2474">
        <f t="shared" si="52"/>
        <v>0</v>
      </c>
      <c r="K99" s="937">
        <f t="shared" si="53"/>
        <v>0</v>
      </c>
      <c r="L99" s="2475">
        <f t="shared" si="54"/>
        <v>0</v>
      </c>
      <c r="M99" s="320"/>
      <c r="N99" s="1623"/>
      <c r="O99" s="1621"/>
      <c r="P99" s="1622"/>
      <c r="Q99" s="973">
        <f t="shared" si="55"/>
        <v>0</v>
      </c>
      <c r="R99" s="1623"/>
      <c r="S99" s="1621"/>
      <c r="T99" s="1624"/>
      <c r="U99" s="2467">
        <f t="shared" si="43"/>
        <v>0</v>
      </c>
      <c r="V99" s="1624"/>
      <c r="W99" s="1621"/>
      <c r="X99" s="1626"/>
    </row>
    <row r="100" spans="1:24" ht="11.25" hidden="1" customHeight="1" x14ac:dyDescent="0.25">
      <c r="A100" s="1165">
        <f>'Org structure'!E96</f>
        <v>0</v>
      </c>
      <c r="B100" s="293"/>
      <c r="C100" s="1621"/>
      <c r="D100" s="1621"/>
      <c r="E100" s="1624"/>
      <c r="F100" s="1623"/>
      <c r="G100" s="1621"/>
      <c r="H100" s="1622"/>
      <c r="I100" s="1624"/>
      <c r="J100" s="2474">
        <f t="shared" si="52"/>
        <v>0</v>
      </c>
      <c r="K100" s="937">
        <f t="shared" si="53"/>
        <v>0</v>
      </c>
      <c r="L100" s="2475">
        <f t="shared" si="54"/>
        <v>0</v>
      </c>
      <c r="M100" s="320"/>
      <c r="N100" s="1623"/>
      <c r="O100" s="1621"/>
      <c r="P100" s="1622"/>
      <c r="Q100" s="973">
        <f t="shared" si="55"/>
        <v>0</v>
      </c>
      <c r="R100" s="1623"/>
      <c r="S100" s="1621"/>
      <c r="T100" s="1624"/>
      <c r="U100" s="2467">
        <f t="shared" si="43"/>
        <v>0</v>
      </c>
      <c r="V100" s="1624"/>
      <c r="W100" s="1621"/>
      <c r="X100" s="1626"/>
    </row>
    <row r="101" spans="1:24" ht="11.25" hidden="1" customHeight="1" x14ac:dyDescent="0.25">
      <c r="A101" s="1165">
        <f>'Org structure'!E97</f>
        <v>0</v>
      </c>
      <c r="B101" s="293"/>
      <c r="C101" s="1621"/>
      <c r="D101" s="1621"/>
      <c r="E101" s="1624"/>
      <c r="F101" s="1623"/>
      <c r="G101" s="1621"/>
      <c r="H101" s="1622"/>
      <c r="I101" s="1624"/>
      <c r="J101" s="2474">
        <f t="shared" si="52"/>
        <v>0</v>
      </c>
      <c r="K101" s="937">
        <f t="shared" si="53"/>
        <v>0</v>
      </c>
      <c r="L101" s="2475">
        <f t="shared" si="54"/>
        <v>0</v>
      </c>
      <c r="M101" s="320"/>
      <c r="N101" s="1623"/>
      <c r="O101" s="1621"/>
      <c r="P101" s="1622"/>
      <c r="Q101" s="973">
        <f t="shared" si="55"/>
        <v>0</v>
      </c>
      <c r="R101" s="1623"/>
      <c r="S101" s="1621"/>
      <c r="T101" s="1624"/>
      <c r="U101" s="2467">
        <f t="shared" si="43"/>
        <v>0</v>
      </c>
      <c r="V101" s="1624"/>
      <c r="W101" s="1621"/>
      <c r="X101" s="1626"/>
    </row>
    <row r="102" spans="1:24" ht="11.25" hidden="1" customHeight="1" x14ac:dyDescent="0.25">
      <c r="A102" s="1165">
        <f>'Org structure'!E98</f>
        <v>0</v>
      </c>
      <c r="B102" s="293"/>
      <c r="C102" s="1621"/>
      <c r="D102" s="1621"/>
      <c r="E102" s="1624"/>
      <c r="F102" s="1623"/>
      <c r="G102" s="1621"/>
      <c r="H102" s="1622"/>
      <c r="I102" s="1624"/>
      <c r="J102" s="2474">
        <f t="shared" si="52"/>
        <v>0</v>
      </c>
      <c r="K102" s="937">
        <f t="shared" si="53"/>
        <v>0</v>
      </c>
      <c r="L102" s="2475">
        <f t="shared" si="54"/>
        <v>0</v>
      </c>
      <c r="M102" s="320"/>
      <c r="N102" s="1623"/>
      <c r="O102" s="1621"/>
      <c r="P102" s="1622"/>
      <c r="Q102" s="973">
        <f t="shared" si="55"/>
        <v>0</v>
      </c>
      <c r="R102" s="1623"/>
      <c r="S102" s="1621"/>
      <c r="T102" s="1624"/>
      <c r="U102" s="2467">
        <f t="shared" si="43"/>
        <v>0</v>
      </c>
      <c r="V102" s="1624"/>
      <c r="W102" s="1621"/>
      <c r="X102" s="1626"/>
    </row>
    <row r="103" spans="1:24" ht="11.25" hidden="1" customHeight="1" x14ac:dyDescent="0.25">
      <c r="A103" s="1165">
        <f>'Org structure'!E99</f>
        <v>0</v>
      </c>
      <c r="B103" s="293"/>
      <c r="C103" s="1621"/>
      <c r="D103" s="1621"/>
      <c r="E103" s="1624"/>
      <c r="F103" s="1623"/>
      <c r="G103" s="1621"/>
      <c r="H103" s="1622"/>
      <c r="I103" s="1624"/>
      <c r="J103" s="2474">
        <f t="shared" si="52"/>
        <v>0</v>
      </c>
      <c r="K103" s="937">
        <f t="shared" si="53"/>
        <v>0</v>
      </c>
      <c r="L103" s="2475">
        <f t="shared" si="54"/>
        <v>0</v>
      </c>
      <c r="M103" s="320"/>
      <c r="N103" s="1623"/>
      <c r="O103" s="1621"/>
      <c r="P103" s="1622"/>
      <c r="Q103" s="973">
        <f t="shared" si="55"/>
        <v>0</v>
      </c>
      <c r="R103" s="1623"/>
      <c r="S103" s="1621"/>
      <c r="T103" s="1624"/>
      <c r="U103" s="2467">
        <f t="shared" si="43"/>
        <v>0</v>
      </c>
      <c r="V103" s="1624"/>
      <c r="W103" s="1621"/>
      <c r="X103" s="1626"/>
    </row>
    <row r="104" spans="1:24" ht="11.25" hidden="1" customHeight="1" x14ac:dyDescent="0.25">
      <c r="A104" s="1165">
        <f>'Org structure'!E100</f>
        <v>0</v>
      </c>
      <c r="B104" s="293"/>
      <c r="C104" s="1621"/>
      <c r="D104" s="1621"/>
      <c r="E104" s="1624"/>
      <c r="F104" s="1623"/>
      <c r="G104" s="1621"/>
      <c r="H104" s="1622"/>
      <c r="I104" s="1624"/>
      <c r="J104" s="2474">
        <f t="shared" si="52"/>
        <v>0</v>
      </c>
      <c r="K104" s="937">
        <f t="shared" si="53"/>
        <v>0</v>
      </c>
      <c r="L104" s="2475">
        <f t="shared" si="54"/>
        <v>0</v>
      </c>
      <c r="M104" s="320"/>
      <c r="N104" s="1623"/>
      <c r="O104" s="1621"/>
      <c r="P104" s="1622"/>
      <c r="Q104" s="973">
        <f t="shared" si="55"/>
        <v>0</v>
      </c>
      <c r="R104" s="1623"/>
      <c r="S104" s="1621"/>
      <c r="T104" s="1624"/>
      <c r="U104" s="2467">
        <f t="shared" si="43"/>
        <v>0</v>
      </c>
      <c r="V104" s="1624"/>
      <c r="W104" s="1621"/>
      <c r="X104" s="1626"/>
    </row>
    <row r="105" spans="1:24" ht="15" hidden="1" customHeight="1" x14ac:dyDescent="0.25">
      <c r="A105" s="1164" t="str">
        <f>'Org structure'!A11</f>
        <v>Vote 10 - 550 ROADS &amp; STORMWATER</v>
      </c>
      <c r="B105" s="293"/>
      <c r="C105" s="971">
        <f>SUM(C106:C115)</f>
        <v>0</v>
      </c>
      <c r="D105" s="971">
        <f t="shared" ref="D105:L105" si="56">SUM(D106:D115)</f>
        <v>0</v>
      </c>
      <c r="E105" s="972">
        <f t="shared" si="56"/>
        <v>0</v>
      </c>
      <c r="F105" s="973">
        <f t="shared" si="56"/>
        <v>0</v>
      </c>
      <c r="G105" s="971">
        <f t="shared" si="56"/>
        <v>0</v>
      </c>
      <c r="H105" s="972">
        <f t="shared" si="56"/>
        <v>0</v>
      </c>
      <c r="I105" s="974">
        <f t="shared" si="56"/>
        <v>0</v>
      </c>
      <c r="J105" s="2474">
        <f t="shared" si="56"/>
        <v>0</v>
      </c>
      <c r="K105" s="937">
        <f t="shared" si="56"/>
        <v>0</v>
      </c>
      <c r="L105" s="2475">
        <f t="shared" si="56"/>
        <v>0</v>
      </c>
      <c r="M105" s="320"/>
      <c r="N105" s="973">
        <f t="shared" ref="N105:X105" si="57">SUM(N106:N115)</f>
        <v>0</v>
      </c>
      <c r="O105" s="971">
        <f t="shared" si="57"/>
        <v>0</v>
      </c>
      <c r="P105" s="972">
        <f t="shared" si="57"/>
        <v>0</v>
      </c>
      <c r="Q105" s="973">
        <f t="shared" si="57"/>
        <v>0</v>
      </c>
      <c r="R105" s="973">
        <f t="shared" si="57"/>
        <v>0</v>
      </c>
      <c r="S105" s="971">
        <f t="shared" si="57"/>
        <v>0</v>
      </c>
      <c r="T105" s="2471">
        <f t="shared" si="57"/>
        <v>0</v>
      </c>
      <c r="U105" s="2467">
        <f t="shared" si="57"/>
        <v>0</v>
      </c>
      <c r="V105" s="2472">
        <f t="shared" si="57"/>
        <v>0</v>
      </c>
      <c r="W105" s="971">
        <f t="shared" si="57"/>
        <v>0</v>
      </c>
      <c r="X105" s="2473">
        <f t="shared" si="57"/>
        <v>0</v>
      </c>
    </row>
    <row r="106" spans="1:24" ht="11.25" hidden="1" customHeight="1" x14ac:dyDescent="0.25">
      <c r="A106" s="1165" t="str">
        <f>'Org structure'!E102</f>
        <v>10.1 - [Name of sub-vote]</v>
      </c>
      <c r="B106" s="293"/>
      <c r="C106" s="1621"/>
      <c r="D106" s="1621"/>
      <c r="E106" s="1624"/>
      <c r="F106" s="1623"/>
      <c r="G106" s="1621"/>
      <c r="H106" s="1622"/>
      <c r="I106" s="1624"/>
      <c r="J106" s="2474">
        <f t="shared" ref="J106:J115" si="58">Q106+V106</f>
        <v>0</v>
      </c>
      <c r="K106" s="937">
        <f t="shared" ref="K106:K115" si="59">U106+W106</f>
        <v>0</v>
      </c>
      <c r="L106" s="2475">
        <f t="shared" ref="L106:L115" si="60">X106</f>
        <v>0</v>
      </c>
      <c r="M106" s="320"/>
      <c r="N106" s="1623"/>
      <c r="O106" s="1621"/>
      <c r="P106" s="1622"/>
      <c r="Q106" s="973">
        <f t="shared" ref="Q106:Q115" si="61">SUM(N106:P106)</f>
        <v>0</v>
      </c>
      <c r="R106" s="1623"/>
      <c r="S106" s="1621"/>
      <c r="T106" s="1624"/>
      <c r="U106" s="2467">
        <f t="shared" si="43"/>
        <v>0</v>
      </c>
      <c r="V106" s="1624"/>
      <c r="W106" s="1621"/>
      <c r="X106" s="1626"/>
    </row>
    <row r="107" spans="1:24" ht="11.25" hidden="1" customHeight="1" x14ac:dyDescent="0.25">
      <c r="A107" s="1165">
        <f>'Org structure'!E103</f>
        <v>0</v>
      </c>
      <c r="B107" s="293"/>
      <c r="C107" s="1621"/>
      <c r="D107" s="1621"/>
      <c r="E107" s="1624"/>
      <c r="F107" s="1623"/>
      <c r="G107" s="1621"/>
      <c r="H107" s="1622"/>
      <c r="I107" s="1624"/>
      <c r="J107" s="2474">
        <f t="shared" si="58"/>
        <v>0</v>
      </c>
      <c r="K107" s="937">
        <f t="shared" si="59"/>
        <v>0</v>
      </c>
      <c r="L107" s="2475">
        <f t="shared" si="60"/>
        <v>0</v>
      </c>
      <c r="M107" s="320"/>
      <c r="N107" s="1623"/>
      <c r="O107" s="1621"/>
      <c r="P107" s="1622"/>
      <c r="Q107" s="973">
        <f t="shared" si="61"/>
        <v>0</v>
      </c>
      <c r="R107" s="1623"/>
      <c r="S107" s="1621"/>
      <c r="T107" s="1624"/>
      <c r="U107" s="2467">
        <f t="shared" si="43"/>
        <v>0</v>
      </c>
      <c r="V107" s="1624"/>
      <c r="W107" s="1621"/>
      <c r="X107" s="1626"/>
    </row>
    <row r="108" spans="1:24" ht="11.25" hidden="1" customHeight="1" x14ac:dyDescent="0.25">
      <c r="A108" s="1165">
        <f>'Org structure'!E104</f>
        <v>0</v>
      </c>
      <c r="B108" s="293"/>
      <c r="C108" s="1621"/>
      <c r="D108" s="1621"/>
      <c r="E108" s="1624"/>
      <c r="F108" s="1623"/>
      <c r="G108" s="1621"/>
      <c r="H108" s="1622"/>
      <c r="I108" s="1624"/>
      <c r="J108" s="2474">
        <f t="shared" si="58"/>
        <v>0</v>
      </c>
      <c r="K108" s="937">
        <f t="shared" si="59"/>
        <v>0</v>
      </c>
      <c r="L108" s="2475">
        <f t="shared" si="60"/>
        <v>0</v>
      </c>
      <c r="M108" s="320"/>
      <c r="N108" s="1623"/>
      <c r="O108" s="1621"/>
      <c r="P108" s="1622"/>
      <c r="Q108" s="973">
        <f t="shared" si="61"/>
        <v>0</v>
      </c>
      <c r="R108" s="1623"/>
      <c r="S108" s="1621"/>
      <c r="T108" s="1624"/>
      <c r="U108" s="2467">
        <f t="shared" si="43"/>
        <v>0</v>
      </c>
      <c r="V108" s="1624"/>
      <c r="W108" s="1621"/>
      <c r="X108" s="1626"/>
    </row>
    <row r="109" spans="1:24" ht="11.25" hidden="1" customHeight="1" x14ac:dyDescent="0.25">
      <c r="A109" s="1165">
        <f>'Org structure'!E105</f>
        <v>0</v>
      </c>
      <c r="B109" s="293"/>
      <c r="C109" s="1621"/>
      <c r="D109" s="1621"/>
      <c r="E109" s="1624"/>
      <c r="F109" s="1623"/>
      <c r="G109" s="1621"/>
      <c r="H109" s="1622"/>
      <c r="I109" s="1624"/>
      <c r="J109" s="2474">
        <f t="shared" si="58"/>
        <v>0</v>
      </c>
      <c r="K109" s="937">
        <f t="shared" si="59"/>
        <v>0</v>
      </c>
      <c r="L109" s="2475">
        <f t="shared" si="60"/>
        <v>0</v>
      </c>
      <c r="M109" s="320"/>
      <c r="N109" s="1623"/>
      <c r="O109" s="1621"/>
      <c r="P109" s="1622"/>
      <c r="Q109" s="973">
        <f t="shared" si="61"/>
        <v>0</v>
      </c>
      <c r="R109" s="1623"/>
      <c r="S109" s="1621"/>
      <c r="T109" s="1624"/>
      <c r="U109" s="2467">
        <f t="shared" si="43"/>
        <v>0</v>
      </c>
      <c r="V109" s="1624"/>
      <c r="W109" s="1621"/>
      <c r="X109" s="1626"/>
    </row>
    <row r="110" spans="1:24" ht="11.25" hidden="1" customHeight="1" x14ac:dyDescent="0.25">
      <c r="A110" s="1165">
        <f>'Org structure'!E106</f>
        <v>0</v>
      </c>
      <c r="B110" s="293"/>
      <c r="C110" s="1621"/>
      <c r="D110" s="1621"/>
      <c r="E110" s="1624"/>
      <c r="F110" s="1623"/>
      <c r="G110" s="1621"/>
      <c r="H110" s="1622"/>
      <c r="I110" s="1624"/>
      <c r="J110" s="2474">
        <f t="shared" si="58"/>
        <v>0</v>
      </c>
      <c r="K110" s="937">
        <f t="shared" si="59"/>
        <v>0</v>
      </c>
      <c r="L110" s="2475">
        <f t="shared" si="60"/>
        <v>0</v>
      </c>
      <c r="M110" s="320"/>
      <c r="N110" s="1623"/>
      <c r="O110" s="1621"/>
      <c r="P110" s="1622"/>
      <c r="Q110" s="973">
        <f t="shared" si="61"/>
        <v>0</v>
      </c>
      <c r="R110" s="1623"/>
      <c r="S110" s="1621"/>
      <c r="T110" s="1624"/>
      <c r="U110" s="2467">
        <f t="shared" si="43"/>
        <v>0</v>
      </c>
      <c r="V110" s="1624"/>
      <c r="W110" s="1621"/>
      <c r="X110" s="1626"/>
    </row>
    <row r="111" spans="1:24" ht="11.25" hidden="1" customHeight="1" x14ac:dyDescent="0.25">
      <c r="A111" s="1165">
        <f>'Org structure'!E107</f>
        <v>0</v>
      </c>
      <c r="B111" s="293"/>
      <c r="C111" s="1621"/>
      <c r="D111" s="1621"/>
      <c r="E111" s="1624"/>
      <c r="F111" s="1623"/>
      <c r="G111" s="1621"/>
      <c r="H111" s="1622"/>
      <c r="I111" s="1624"/>
      <c r="J111" s="2474">
        <f t="shared" si="58"/>
        <v>0</v>
      </c>
      <c r="K111" s="937">
        <f t="shared" si="59"/>
        <v>0</v>
      </c>
      <c r="L111" s="2475">
        <f t="shared" si="60"/>
        <v>0</v>
      </c>
      <c r="M111" s="320"/>
      <c r="N111" s="1623"/>
      <c r="O111" s="1621"/>
      <c r="P111" s="1622"/>
      <c r="Q111" s="973">
        <f t="shared" si="61"/>
        <v>0</v>
      </c>
      <c r="R111" s="1623"/>
      <c r="S111" s="1621"/>
      <c r="T111" s="1624"/>
      <c r="U111" s="2467">
        <f t="shared" si="43"/>
        <v>0</v>
      </c>
      <c r="V111" s="1624"/>
      <c r="W111" s="1621"/>
      <c r="X111" s="1626"/>
    </row>
    <row r="112" spans="1:24" ht="11.25" hidden="1" customHeight="1" x14ac:dyDescent="0.25">
      <c r="A112" s="1165">
        <f>'Org structure'!E108</f>
        <v>0</v>
      </c>
      <c r="B112" s="293"/>
      <c r="C112" s="1621"/>
      <c r="D112" s="1621"/>
      <c r="E112" s="1624"/>
      <c r="F112" s="1623"/>
      <c r="G112" s="1621"/>
      <c r="H112" s="1622"/>
      <c r="I112" s="1624"/>
      <c r="J112" s="2474">
        <f t="shared" si="58"/>
        <v>0</v>
      </c>
      <c r="K112" s="937">
        <f t="shared" si="59"/>
        <v>0</v>
      </c>
      <c r="L112" s="2475">
        <f t="shared" si="60"/>
        <v>0</v>
      </c>
      <c r="M112" s="320"/>
      <c r="N112" s="1623"/>
      <c r="O112" s="1621"/>
      <c r="P112" s="1622"/>
      <c r="Q112" s="973">
        <f t="shared" si="61"/>
        <v>0</v>
      </c>
      <c r="R112" s="1623"/>
      <c r="S112" s="1621"/>
      <c r="T112" s="1624"/>
      <c r="U112" s="2467">
        <f t="shared" si="43"/>
        <v>0</v>
      </c>
      <c r="V112" s="1624"/>
      <c r="W112" s="1621"/>
      <c r="X112" s="1626"/>
    </row>
    <row r="113" spans="1:24" ht="11.25" hidden="1" customHeight="1" x14ac:dyDescent="0.25">
      <c r="A113" s="1165">
        <f>'Org structure'!E109</f>
        <v>0</v>
      </c>
      <c r="B113" s="293"/>
      <c r="C113" s="1621"/>
      <c r="D113" s="1621"/>
      <c r="E113" s="1624"/>
      <c r="F113" s="1623"/>
      <c r="G113" s="1621"/>
      <c r="H113" s="1622"/>
      <c r="I113" s="1624"/>
      <c r="J113" s="2474">
        <f t="shared" si="58"/>
        <v>0</v>
      </c>
      <c r="K113" s="937">
        <f t="shared" si="59"/>
        <v>0</v>
      </c>
      <c r="L113" s="2475">
        <f t="shared" si="60"/>
        <v>0</v>
      </c>
      <c r="M113" s="320"/>
      <c r="N113" s="1623"/>
      <c r="O113" s="1621"/>
      <c r="P113" s="1622"/>
      <c r="Q113" s="973">
        <f t="shared" si="61"/>
        <v>0</v>
      </c>
      <c r="R113" s="1623"/>
      <c r="S113" s="1621"/>
      <c r="T113" s="1624"/>
      <c r="U113" s="2467">
        <f t="shared" si="43"/>
        <v>0</v>
      </c>
      <c r="V113" s="1624"/>
      <c r="W113" s="1621"/>
      <c r="X113" s="1626"/>
    </row>
    <row r="114" spans="1:24" ht="11.25" hidden="1" customHeight="1" x14ac:dyDescent="0.25">
      <c r="A114" s="1165">
        <f>'Org structure'!E110</f>
        <v>0</v>
      </c>
      <c r="B114" s="293"/>
      <c r="C114" s="1621"/>
      <c r="D114" s="1621"/>
      <c r="E114" s="1624"/>
      <c r="F114" s="1623"/>
      <c r="G114" s="1621"/>
      <c r="H114" s="1622"/>
      <c r="I114" s="1624"/>
      <c r="J114" s="2474">
        <f t="shared" si="58"/>
        <v>0</v>
      </c>
      <c r="K114" s="937">
        <f t="shared" si="59"/>
        <v>0</v>
      </c>
      <c r="L114" s="2475">
        <f t="shared" si="60"/>
        <v>0</v>
      </c>
      <c r="M114" s="320"/>
      <c r="N114" s="1623"/>
      <c r="O114" s="1621"/>
      <c r="P114" s="1622"/>
      <c r="Q114" s="973">
        <f t="shared" si="61"/>
        <v>0</v>
      </c>
      <c r="R114" s="1623"/>
      <c r="S114" s="1621"/>
      <c r="T114" s="1624"/>
      <c r="U114" s="2467">
        <f t="shared" si="43"/>
        <v>0</v>
      </c>
      <c r="V114" s="1624"/>
      <c r="W114" s="1621"/>
      <c r="X114" s="1626"/>
    </row>
    <row r="115" spans="1:24" ht="11.25" hidden="1" customHeight="1" x14ac:dyDescent="0.25">
      <c r="A115" s="1165">
        <f>'Org structure'!E111</f>
        <v>0</v>
      </c>
      <c r="B115" s="293"/>
      <c r="C115" s="1621"/>
      <c r="D115" s="1621"/>
      <c r="E115" s="1624"/>
      <c r="F115" s="1623"/>
      <c r="G115" s="1621"/>
      <c r="H115" s="1622"/>
      <c r="I115" s="1624"/>
      <c r="J115" s="2474">
        <f t="shared" si="58"/>
        <v>0</v>
      </c>
      <c r="K115" s="937">
        <f t="shared" si="59"/>
        <v>0</v>
      </c>
      <c r="L115" s="2475">
        <f t="shared" si="60"/>
        <v>0</v>
      </c>
      <c r="M115" s="320"/>
      <c r="N115" s="1623"/>
      <c r="O115" s="1621"/>
      <c r="P115" s="1622"/>
      <c r="Q115" s="973">
        <f t="shared" si="61"/>
        <v>0</v>
      </c>
      <c r="R115" s="1623"/>
      <c r="S115" s="1621"/>
      <c r="T115" s="1624"/>
      <c r="U115" s="2467">
        <f t="shared" si="43"/>
        <v>0</v>
      </c>
      <c r="V115" s="1624"/>
      <c r="W115" s="1621"/>
      <c r="X115" s="1626"/>
    </row>
    <row r="116" spans="1:24" ht="15" hidden="1" customHeight="1" x14ac:dyDescent="0.25">
      <c r="A116" s="1164" t="str">
        <f>'Org structure'!A12</f>
        <v>Vote 11 - 560 SANITATION SERVICES</v>
      </c>
      <c r="B116" s="293"/>
      <c r="C116" s="971">
        <f t="shared" ref="C116:L116" si="62">SUM(C117:C126)</f>
        <v>0</v>
      </c>
      <c r="D116" s="971">
        <f t="shared" si="62"/>
        <v>0</v>
      </c>
      <c r="E116" s="972">
        <f t="shared" si="62"/>
        <v>0</v>
      </c>
      <c r="F116" s="973">
        <f t="shared" si="62"/>
        <v>0</v>
      </c>
      <c r="G116" s="971">
        <f t="shared" si="62"/>
        <v>0</v>
      </c>
      <c r="H116" s="972">
        <f t="shared" si="62"/>
        <v>0</v>
      </c>
      <c r="I116" s="974">
        <f t="shared" si="62"/>
        <v>0</v>
      </c>
      <c r="J116" s="2474">
        <f t="shared" si="62"/>
        <v>0</v>
      </c>
      <c r="K116" s="937">
        <f t="shared" si="62"/>
        <v>0</v>
      </c>
      <c r="L116" s="2475">
        <f t="shared" si="62"/>
        <v>0</v>
      </c>
      <c r="M116" s="320"/>
      <c r="N116" s="973">
        <f t="shared" ref="N116:X116" si="63">SUM(N117:N126)</f>
        <v>0</v>
      </c>
      <c r="O116" s="971">
        <f t="shared" si="63"/>
        <v>0</v>
      </c>
      <c r="P116" s="972">
        <f t="shared" si="63"/>
        <v>0</v>
      </c>
      <c r="Q116" s="973">
        <f t="shared" si="63"/>
        <v>0</v>
      </c>
      <c r="R116" s="973">
        <f t="shared" si="63"/>
        <v>0</v>
      </c>
      <c r="S116" s="971">
        <f t="shared" si="63"/>
        <v>0</v>
      </c>
      <c r="T116" s="2471">
        <f t="shared" si="63"/>
        <v>0</v>
      </c>
      <c r="U116" s="2467">
        <f t="shared" si="63"/>
        <v>0</v>
      </c>
      <c r="V116" s="2472">
        <f t="shared" si="63"/>
        <v>0</v>
      </c>
      <c r="W116" s="971">
        <f t="shared" si="63"/>
        <v>0</v>
      </c>
      <c r="X116" s="2473">
        <f t="shared" si="63"/>
        <v>0</v>
      </c>
    </row>
    <row r="117" spans="1:24" ht="11.25" hidden="1" customHeight="1" x14ac:dyDescent="0.25">
      <c r="A117" s="1165" t="str">
        <f>'Org structure'!E113</f>
        <v>11.1 - [Name of sub-vote]</v>
      </c>
      <c r="B117" s="293"/>
      <c r="C117" s="1621"/>
      <c r="D117" s="1621"/>
      <c r="E117" s="1624"/>
      <c r="F117" s="1623"/>
      <c r="G117" s="1621"/>
      <c r="H117" s="1622"/>
      <c r="I117" s="1624"/>
      <c r="J117" s="2474">
        <f t="shared" ref="J117:J126" si="64">Q117+V117</f>
        <v>0</v>
      </c>
      <c r="K117" s="937">
        <f t="shared" ref="K117:K126" si="65">U117+W117</f>
        <v>0</v>
      </c>
      <c r="L117" s="2475">
        <f t="shared" ref="L117:L126" si="66">X117</f>
        <v>0</v>
      </c>
      <c r="M117" s="320"/>
      <c r="N117" s="1623"/>
      <c r="O117" s="1621"/>
      <c r="P117" s="1622"/>
      <c r="Q117" s="973">
        <f t="shared" ref="Q117:Q126" si="67">SUM(N117:P117)</f>
        <v>0</v>
      </c>
      <c r="R117" s="1623"/>
      <c r="S117" s="1621"/>
      <c r="T117" s="1624"/>
      <c r="U117" s="2467">
        <f t="shared" si="43"/>
        <v>0</v>
      </c>
      <c r="V117" s="1624"/>
      <c r="W117" s="1621"/>
      <c r="X117" s="1626"/>
    </row>
    <row r="118" spans="1:24" ht="11.25" hidden="1" customHeight="1" x14ac:dyDescent="0.25">
      <c r="A118" s="1165">
        <f>'Org structure'!E114</f>
        <v>0</v>
      </c>
      <c r="B118" s="293"/>
      <c r="C118" s="1621"/>
      <c r="D118" s="1621"/>
      <c r="E118" s="1624"/>
      <c r="F118" s="1623"/>
      <c r="G118" s="1621"/>
      <c r="H118" s="1622"/>
      <c r="I118" s="1624"/>
      <c r="J118" s="2474">
        <f t="shared" si="64"/>
        <v>0</v>
      </c>
      <c r="K118" s="937">
        <f t="shared" si="65"/>
        <v>0</v>
      </c>
      <c r="L118" s="2475">
        <f t="shared" si="66"/>
        <v>0</v>
      </c>
      <c r="M118" s="320"/>
      <c r="N118" s="1623"/>
      <c r="O118" s="1621"/>
      <c r="P118" s="1622"/>
      <c r="Q118" s="973">
        <f t="shared" si="67"/>
        <v>0</v>
      </c>
      <c r="R118" s="1623"/>
      <c r="S118" s="1621"/>
      <c r="T118" s="1624"/>
      <c r="U118" s="2467">
        <f t="shared" si="43"/>
        <v>0</v>
      </c>
      <c r="V118" s="1624"/>
      <c r="W118" s="1621"/>
      <c r="X118" s="1626"/>
    </row>
    <row r="119" spans="1:24" ht="11.25" hidden="1" customHeight="1" x14ac:dyDescent="0.25">
      <c r="A119" s="1165">
        <f>'Org structure'!E115</f>
        <v>0</v>
      </c>
      <c r="B119" s="293"/>
      <c r="C119" s="1621"/>
      <c r="D119" s="1621"/>
      <c r="E119" s="1624"/>
      <c r="F119" s="1623"/>
      <c r="G119" s="1621"/>
      <c r="H119" s="1622"/>
      <c r="I119" s="1624"/>
      <c r="J119" s="2474">
        <f t="shared" si="64"/>
        <v>0</v>
      </c>
      <c r="K119" s="937">
        <f t="shared" si="65"/>
        <v>0</v>
      </c>
      <c r="L119" s="2475">
        <f t="shared" si="66"/>
        <v>0</v>
      </c>
      <c r="M119" s="320"/>
      <c r="N119" s="1623"/>
      <c r="O119" s="1621"/>
      <c r="P119" s="1622"/>
      <c r="Q119" s="973">
        <f t="shared" si="67"/>
        <v>0</v>
      </c>
      <c r="R119" s="1623"/>
      <c r="S119" s="1621"/>
      <c r="T119" s="1624"/>
      <c r="U119" s="2467">
        <f t="shared" si="43"/>
        <v>0</v>
      </c>
      <c r="V119" s="1624"/>
      <c r="W119" s="1621"/>
      <c r="X119" s="1626"/>
    </row>
    <row r="120" spans="1:24" ht="11.25" hidden="1" customHeight="1" x14ac:dyDescent="0.25">
      <c r="A120" s="1165">
        <f>'Org structure'!E116</f>
        <v>0</v>
      </c>
      <c r="B120" s="293"/>
      <c r="C120" s="1621"/>
      <c r="D120" s="1621"/>
      <c r="E120" s="1624"/>
      <c r="F120" s="1623"/>
      <c r="G120" s="1621"/>
      <c r="H120" s="1622"/>
      <c r="I120" s="1624"/>
      <c r="J120" s="2474">
        <f t="shared" si="64"/>
        <v>0</v>
      </c>
      <c r="K120" s="937">
        <f t="shared" si="65"/>
        <v>0</v>
      </c>
      <c r="L120" s="2475">
        <f t="shared" si="66"/>
        <v>0</v>
      </c>
      <c r="M120" s="320"/>
      <c r="N120" s="1623"/>
      <c r="O120" s="1621"/>
      <c r="P120" s="1622"/>
      <c r="Q120" s="973">
        <f t="shared" si="67"/>
        <v>0</v>
      </c>
      <c r="R120" s="1623"/>
      <c r="S120" s="1621"/>
      <c r="T120" s="1624"/>
      <c r="U120" s="2467">
        <f t="shared" si="43"/>
        <v>0</v>
      </c>
      <c r="V120" s="1624"/>
      <c r="W120" s="1621"/>
      <c r="X120" s="1626"/>
    </row>
    <row r="121" spans="1:24" ht="11.25" hidden="1" customHeight="1" x14ac:dyDescent="0.25">
      <c r="A121" s="1165">
        <f>'Org structure'!E117</f>
        <v>0</v>
      </c>
      <c r="B121" s="293"/>
      <c r="C121" s="1621"/>
      <c r="D121" s="1621"/>
      <c r="E121" s="1624"/>
      <c r="F121" s="1623"/>
      <c r="G121" s="1621"/>
      <c r="H121" s="1622"/>
      <c r="I121" s="1624"/>
      <c r="J121" s="2474">
        <f t="shared" si="64"/>
        <v>0</v>
      </c>
      <c r="K121" s="937">
        <f t="shared" si="65"/>
        <v>0</v>
      </c>
      <c r="L121" s="2475">
        <f t="shared" si="66"/>
        <v>0</v>
      </c>
      <c r="M121" s="320"/>
      <c r="N121" s="1623"/>
      <c r="O121" s="1621"/>
      <c r="P121" s="1622"/>
      <c r="Q121" s="973">
        <f t="shared" si="67"/>
        <v>0</v>
      </c>
      <c r="R121" s="1623"/>
      <c r="S121" s="1621"/>
      <c r="T121" s="1624"/>
      <c r="U121" s="2467">
        <f t="shared" si="43"/>
        <v>0</v>
      </c>
      <c r="V121" s="1624"/>
      <c r="W121" s="1621"/>
      <c r="X121" s="1626"/>
    </row>
    <row r="122" spans="1:24" ht="11.25" hidden="1" customHeight="1" x14ac:dyDescent="0.25">
      <c r="A122" s="1165">
        <f>'Org structure'!E118</f>
        <v>0</v>
      </c>
      <c r="B122" s="293"/>
      <c r="C122" s="1621"/>
      <c r="D122" s="1621"/>
      <c r="E122" s="1624"/>
      <c r="F122" s="1623"/>
      <c r="G122" s="1621"/>
      <c r="H122" s="1622"/>
      <c r="I122" s="1624"/>
      <c r="J122" s="2474">
        <f t="shared" si="64"/>
        <v>0</v>
      </c>
      <c r="K122" s="937">
        <f t="shared" si="65"/>
        <v>0</v>
      </c>
      <c r="L122" s="2475">
        <f t="shared" si="66"/>
        <v>0</v>
      </c>
      <c r="M122" s="320"/>
      <c r="N122" s="1623"/>
      <c r="O122" s="1621"/>
      <c r="P122" s="1622"/>
      <c r="Q122" s="973">
        <f t="shared" si="67"/>
        <v>0</v>
      </c>
      <c r="R122" s="1623"/>
      <c r="S122" s="1621"/>
      <c r="T122" s="1624"/>
      <c r="U122" s="2467">
        <f t="shared" si="43"/>
        <v>0</v>
      </c>
      <c r="V122" s="1624"/>
      <c r="W122" s="1621"/>
      <c r="X122" s="1626"/>
    </row>
    <row r="123" spans="1:24" ht="11.25" hidden="1" customHeight="1" x14ac:dyDescent="0.25">
      <c r="A123" s="1165">
        <f>'Org structure'!E119</f>
        <v>0</v>
      </c>
      <c r="B123" s="293"/>
      <c r="C123" s="1621"/>
      <c r="D123" s="1621"/>
      <c r="E123" s="1624"/>
      <c r="F123" s="1623"/>
      <c r="G123" s="1621"/>
      <c r="H123" s="1622"/>
      <c r="I123" s="1624"/>
      <c r="J123" s="2474">
        <f t="shared" si="64"/>
        <v>0</v>
      </c>
      <c r="K123" s="937">
        <f t="shared" si="65"/>
        <v>0</v>
      </c>
      <c r="L123" s="2475">
        <f t="shared" si="66"/>
        <v>0</v>
      </c>
      <c r="M123" s="320"/>
      <c r="N123" s="1623"/>
      <c r="O123" s="1621"/>
      <c r="P123" s="1622"/>
      <c r="Q123" s="973">
        <f t="shared" si="67"/>
        <v>0</v>
      </c>
      <c r="R123" s="1623"/>
      <c r="S123" s="1621"/>
      <c r="T123" s="1624"/>
      <c r="U123" s="2467">
        <f t="shared" si="43"/>
        <v>0</v>
      </c>
      <c r="V123" s="1624"/>
      <c r="W123" s="1621"/>
      <c r="X123" s="1626"/>
    </row>
    <row r="124" spans="1:24" ht="11.25" hidden="1" customHeight="1" x14ac:dyDescent="0.25">
      <c r="A124" s="1165">
        <f>'Org structure'!E120</f>
        <v>0</v>
      </c>
      <c r="B124" s="293"/>
      <c r="C124" s="1621"/>
      <c r="D124" s="1621"/>
      <c r="E124" s="1624"/>
      <c r="F124" s="1623"/>
      <c r="G124" s="1621"/>
      <c r="H124" s="1622"/>
      <c r="I124" s="1624"/>
      <c r="J124" s="2474">
        <f t="shared" si="64"/>
        <v>0</v>
      </c>
      <c r="K124" s="937">
        <f t="shared" si="65"/>
        <v>0</v>
      </c>
      <c r="L124" s="2475">
        <f t="shared" si="66"/>
        <v>0</v>
      </c>
      <c r="M124" s="320"/>
      <c r="N124" s="1623"/>
      <c r="O124" s="1621"/>
      <c r="P124" s="1622"/>
      <c r="Q124" s="973">
        <f t="shared" si="67"/>
        <v>0</v>
      </c>
      <c r="R124" s="1623"/>
      <c r="S124" s="1621"/>
      <c r="T124" s="1624"/>
      <c r="U124" s="2467">
        <f t="shared" si="43"/>
        <v>0</v>
      </c>
      <c r="V124" s="1624"/>
      <c r="W124" s="1621"/>
      <c r="X124" s="1626"/>
    </row>
    <row r="125" spans="1:24" ht="11.25" hidden="1" customHeight="1" x14ac:dyDescent="0.25">
      <c r="A125" s="1165">
        <f>'Org structure'!E121</f>
        <v>0</v>
      </c>
      <c r="B125" s="293"/>
      <c r="C125" s="1621"/>
      <c r="D125" s="1621"/>
      <c r="E125" s="1624"/>
      <c r="F125" s="1623"/>
      <c r="G125" s="1621"/>
      <c r="H125" s="1622"/>
      <c r="I125" s="1624"/>
      <c r="J125" s="2474">
        <f t="shared" si="64"/>
        <v>0</v>
      </c>
      <c r="K125" s="937">
        <f t="shared" si="65"/>
        <v>0</v>
      </c>
      <c r="L125" s="2475">
        <f t="shared" si="66"/>
        <v>0</v>
      </c>
      <c r="M125" s="320"/>
      <c r="N125" s="1623"/>
      <c r="O125" s="1621"/>
      <c r="P125" s="1622"/>
      <c r="Q125" s="973">
        <f t="shared" si="67"/>
        <v>0</v>
      </c>
      <c r="R125" s="1623"/>
      <c r="S125" s="1621"/>
      <c r="T125" s="1624"/>
      <c r="U125" s="2467">
        <f t="shared" si="43"/>
        <v>0</v>
      </c>
      <c r="V125" s="1624"/>
      <c r="W125" s="1621"/>
      <c r="X125" s="1626"/>
    </row>
    <row r="126" spans="1:24" ht="11.25" hidden="1" customHeight="1" x14ac:dyDescent="0.25">
      <c r="A126" s="1165">
        <f>'Org structure'!E122</f>
        <v>0</v>
      </c>
      <c r="B126" s="293"/>
      <c r="C126" s="1621"/>
      <c r="D126" s="1621"/>
      <c r="E126" s="1624"/>
      <c r="F126" s="1623"/>
      <c r="G126" s="1621"/>
      <c r="H126" s="1622"/>
      <c r="I126" s="1624"/>
      <c r="J126" s="2474">
        <f t="shared" si="64"/>
        <v>0</v>
      </c>
      <c r="K126" s="937">
        <f t="shared" si="65"/>
        <v>0</v>
      </c>
      <c r="L126" s="2475">
        <f t="shared" si="66"/>
        <v>0</v>
      </c>
      <c r="M126" s="320"/>
      <c r="N126" s="1623"/>
      <c r="O126" s="1621"/>
      <c r="P126" s="1622"/>
      <c r="Q126" s="973">
        <f t="shared" si="67"/>
        <v>0</v>
      </c>
      <c r="R126" s="1623"/>
      <c r="S126" s="1621"/>
      <c r="T126" s="1624"/>
      <c r="U126" s="2467">
        <f t="shared" si="43"/>
        <v>0</v>
      </c>
      <c r="V126" s="1624"/>
      <c r="W126" s="1621"/>
      <c r="X126" s="1626"/>
    </row>
    <row r="127" spans="1:24" ht="15" hidden="1" customHeight="1" x14ac:dyDescent="0.25">
      <c r="A127" s="1164" t="str">
        <f>'Org structure'!A13</f>
        <v>Vote 12 - 106 CORPORATE SERVICES</v>
      </c>
      <c r="B127" s="293"/>
      <c r="C127" s="971">
        <f t="shared" ref="C127:L127" si="68">SUM(C128:C137)</f>
        <v>0</v>
      </c>
      <c r="D127" s="971">
        <f t="shared" si="68"/>
        <v>0</v>
      </c>
      <c r="E127" s="972">
        <f t="shared" si="68"/>
        <v>0</v>
      </c>
      <c r="F127" s="973">
        <f t="shared" si="68"/>
        <v>0</v>
      </c>
      <c r="G127" s="971">
        <f t="shared" si="68"/>
        <v>0</v>
      </c>
      <c r="H127" s="972">
        <f t="shared" si="68"/>
        <v>0</v>
      </c>
      <c r="I127" s="974">
        <f t="shared" si="68"/>
        <v>0</v>
      </c>
      <c r="J127" s="2474">
        <f t="shared" si="68"/>
        <v>0</v>
      </c>
      <c r="K127" s="937">
        <f t="shared" si="68"/>
        <v>0</v>
      </c>
      <c r="L127" s="2475">
        <f t="shared" si="68"/>
        <v>0</v>
      </c>
      <c r="M127" s="320"/>
      <c r="N127" s="973">
        <f t="shared" ref="N127:X127" si="69">SUM(N128:N137)</f>
        <v>0</v>
      </c>
      <c r="O127" s="971">
        <f t="shared" si="69"/>
        <v>0</v>
      </c>
      <c r="P127" s="972">
        <f t="shared" si="69"/>
        <v>0</v>
      </c>
      <c r="Q127" s="973">
        <f t="shared" si="69"/>
        <v>0</v>
      </c>
      <c r="R127" s="973">
        <f t="shared" si="69"/>
        <v>0</v>
      </c>
      <c r="S127" s="971">
        <f t="shared" si="69"/>
        <v>0</v>
      </c>
      <c r="T127" s="2471">
        <f t="shared" si="69"/>
        <v>0</v>
      </c>
      <c r="U127" s="2467">
        <f t="shared" si="69"/>
        <v>0</v>
      </c>
      <c r="V127" s="2472">
        <f t="shared" si="69"/>
        <v>0</v>
      </c>
      <c r="W127" s="971">
        <f t="shared" si="69"/>
        <v>0</v>
      </c>
      <c r="X127" s="2473">
        <f t="shared" si="69"/>
        <v>0</v>
      </c>
    </row>
    <row r="128" spans="1:24" ht="11.25" hidden="1" customHeight="1" x14ac:dyDescent="0.25">
      <c r="A128" s="1165" t="str">
        <f>'Org structure'!E124</f>
        <v>12.1 - [Name of sub-vote]</v>
      </c>
      <c r="B128" s="293"/>
      <c r="C128" s="1621"/>
      <c r="D128" s="1621"/>
      <c r="E128" s="1624"/>
      <c r="F128" s="1623"/>
      <c r="G128" s="1621"/>
      <c r="H128" s="1622"/>
      <c r="I128" s="1624"/>
      <c r="J128" s="2474">
        <f t="shared" ref="J128:J137" si="70">Q128+V128</f>
        <v>0</v>
      </c>
      <c r="K128" s="937">
        <f t="shared" ref="K128:K137" si="71">U128+W128</f>
        <v>0</v>
      </c>
      <c r="L128" s="2475">
        <f t="shared" ref="L128:L137" si="72">X128</f>
        <v>0</v>
      </c>
      <c r="M128" s="320"/>
      <c r="N128" s="1623"/>
      <c r="O128" s="1621"/>
      <c r="P128" s="1622"/>
      <c r="Q128" s="973">
        <f t="shared" ref="Q128:Q137" si="73">SUM(N128:P128)</f>
        <v>0</v>
      </c>
      <c r="R128" s="1623"/>
      <c r="S128" s="1621"/>
      <c r="T128" s="1624"/>
      <c r="U128" s="2467">
        <f t="shared" si="43"/>
        <v>0</v>
      </c>
      <c r="V128" s="1624"/>
      <c r="W128" s="1621"/>
      <c r="X128" s="1626"/>
    </row>
    <row r="129" spans="1:24" ht="11.25" hidden="1" customHeight="1" x14ac:dyDescent="0.25">
      <c r="A129" s="1165">
        <f>'Org structure'!E125</f>
        <v>0</v>
      </c>
      <c r="B129" s="293"/>
      <c r="C129" s="1621"/>
      <c r="D129" s="1621"/>
      <c r="E129" s="1624"/>
      <c r="F129" s="1623"/>
      <c r="G129" s="1621"/>
      <c r="H129" s="1622"/>
      <c r="I129" s="1624"/>
      <c r="J129" s="2474">
        <f t="shared" si="70"/>
        <v>0</v>
      </c>
      <c r="K129" s="937">
        <f t="shared" si="71"/>
        <v>0</v>
      </c>
      <c r="L129" s="2475">
        <f t="shared" si="72"/>
        <v>0</v>
      </c>
      <c r="M129" s="320"/>
      <c r="N129" s="1623"/>
      <c r="O129" s="1621"/>
      <c r="P129" s="1622"/>
      <c r="Q129" s="973">
        <f t="shared" si="73"/>
        <v>0</v>
      </c>
      <c r="R129" s="1623"/>
      <c r="S129" s="1621"/>
      <c r="T129" s="1624"/>
      <c r="U129" s="2467">
        <f t="shared" si="43"/>
        <v>0</v>
      </c>
      <c r="V129" s="1624"/>
      <c r="W129" s="1621"/>
      <c r="X129" s="1626"/>
    </row>
    <row r="130" spans="1:24" ht="11.25" hidden="1" customHeight="1" x14ac:dyDescent="0.25">
      <c r="A130" s="1165">
        <f>'Org structure'!E126</f>
        <v>0</v>
      </c>
      <c r="B130" s="293"/>
      <c r="C130" s="1621"/>
      <c r="D130" s="1621"/>
      <c r="E130" s="1624"/>
      <c r="F130" s="1623"/>
      <c r="G130" s="1621"/>
      <c r="H130" s="1622"/>
      <c r="I130" s="1624"/>
      <c r="J130" s="2474">
        <f t="shared" si="70"/>
        <v>0</v>
      </c>
      <c r="K130" s="937">
        <f t="shared" si="71"/>
        <v>0</v>
      </c>
      <c r="L130" s="2475">
        <f t="shared" si="72"/>
        <v>0</v>
      </c>
      <c r="M130" s="320"/>
      <c r="N130" s="1623"/>
      <c r="O130" s="1621"/>
      <c r="P130" s="1622"/>
      <c r="Q130" s="973">
        <f t="shared" si="73"/>
        <v>0</v>
      </c>
      <c r="R130" s="1623"/>
      <c r="S130" s="1621"/>
      <c r="T130" s="1624"/>
      <c r="U130" s="2467">
        <f t="shared" si="43"/>
        <v>0</v>
      </c>
      <c r="V130" s="1624"/>
      <c r="W130" s="1621"/>
      <c r="X130" s="1626"/>
    </row>
    <row r="131" spans="1:24" ht="11.25" hidden="1" customHeight="1" x14ac:dyDescent="0.25">
      <c r="A131" s="1165">
        <f>'Org structure'!E127</f>
        <v>0</v>
      </c>
      <c r="B131" s="293"/>
      <c r="C131" s="1621"/>
      <c r="D131" s="1621"/>
      <c r="E131" s="1624"/>
      <c r="F131" s="1623"/>
      <c r="G131" s="1621"/>
      <c r="H131" s="1622"/>
      <c r="I131" s="1624"/>
      <c r="J131" s="2474">
        <f t="shared" si="70"/>
        <v>0</v>
      </c>
      <c r="K131" s="937">
        <f t="shared" si="71"/>
        <v>0</v>
      </c>
      <c r="L131" s="2475">
        <f t="shared" si="72"/>
        <v>0</v>
      </c>
      <c r="M131" s="320"/>
      <c r="N131" s="1623"/>
      <c r="O131" s="1621"/>
      <c r="P131" s="1622"/>
      <c r="Q131" s="973">
        <f t="shared" si="73"/>
        <v>0</v>
      </c>
      <c r="R131" s="1623"/>
      <c r="S131" s="1621"/>
      <c r="T131" s="1624"/>
      <c r="U131" s="2467">
        <f t="shared" si="43"/>
        <v>0</v>
      </c>
      <c r="V131" s="1624"/>
      <c r="W131" s="1621"/>
      <c r="X131" s="1626"/>
    </row>
    <row r="132" spans="1:24" ht="11.25" hidden="1" customHeight="1" x14ac:dyDescent="0.25">
      <c r="A132" s="1165">
        <f>'Org structure'!E128</f>
        <v>0</v>
      </c>
      <c r="B132" s="293"/>
      <c r="C132" s="1621"/>
      <c r="D132" s="1621"/>
      <c r="E132" s="1624"/>
      <c r="F132" s="1623"/>
      <c r="G132" s="1621"/>
      <c r="H132" s="1622"/>
      <c r="I132" s="1624"/>
      <c r="J132" s="2474">
        <f t="shared" si="70"/>
        <v>0</v>
      </c>
      <c r="K132" s="937">
        <f t="shared" si="71"/>
        <v>0</v>
      </c>
      <c r="L132" s="2475">
        <f t="shared" si="72"/>
        <v>0</v>
      </c>
      <c r="M132" s="320"/>
      <c r="N132" s="1623"/>
      <c r="O132" s="1621"/>
      <c r="P132" s="1622"/>
      <c r="Q132" s="973">
        <f t="shared" si="73"/>
        <v>0</v>
      </c>
      <c r="R132" s="1623"/>
      <c r="S132" s="1621"/>
      <c r="T132" s="1624"/>
      <c r="U132" s="2467">
        <f t="shared" si="43"/>
        <v>0</v>
      </c>
      <c r="V132" s="1624"/>
      <c r="W132" s="1621"/>
      <c r="X132" s="1626"/>
    </row>
    <row r="133" spans="1:24" ht="11.25" hidden="1" customHeight="1" x14ac:dyDescent="0.25">
      <c r="A133" s="1165">
        <f>'Org structure'!E129</f>
        <v>0</v>
      </c>
      <c r="B133" s="293"/>
      <c r="C133" s="1621"/>
      <c r="D133" s="1621"/>
      <c r="E133" s="1624"/>
      <c r="F133" s="1623"/>
      <c r="G133" s="1621"/>
      <c r="H133" s="1622"/>
      <c r="I133" s="1624"/>
      <c r="J133" s="2474">
        <f>Q133+V133</f>
        <v>0</v>
      </c>
      <c r="K133" s="937">
        <f t="shared" si="71"/>
        <v>0</v>
      </c>
      <c r="L133" s="2475">
        <f t="shared" si="72"/>
        <v>0</v>
      </c>
      <c r="M133" s="320"/>
      <c r="N133" s="1623"/>
      <c r="O133" s="1621"/>
      <c r="P133" s="1622"/>
      <c r="Q133" s="973">
        <f t="shared" si="73"/>
        <v>0</v>
      </c>
      <c r="R133" s="1623"/>
      <c r="S133" s="1621"/>
      <c r="T133" s="1624"/>
      <c r="U133" s="2467">
        <f t="shared" si="43"/>
        <v>0</v>
      </c>
      <c r="V133" s="1624"/>
      <c r="W133" s="1621"/>
      <c r="X133" s="1626"/>
    </row>
    <row r="134" spans="1:24" ht="11.25" hidden="1" customHeight="1" x14ac:dyDescent="0.25">
      <c r="A134" s="1165">
        <f>'Org structure'!E130</f>
        <v>0</v>
      </c>
      <c r="B134" s="293"/>
      <c r="C134" s="1621"/>
      <c r="D134" s="1621"/>
      <c r="E134" s="1624"/>
      <c r="F134" s="1623"/>
      <c r="G134" s="1621"/>
      <c r="H134" s="1622"/>
      <c r="I134" s="1624"/>
      <c r="J134" s="2474">
        <f t="shared" si="70"/>
        <v>0</v>
      </c>
      <c r="K134" s="937">
        <f t="shared" si="71"/>
        <v>0</v>
      </c>
      <c r="L134" s="2475">
        <f t="shared" si="72"/>
        <v>0</v>
      </c>
      <c r="M134" s="320"/>
      <c r="N134" s="1623"/>
      <c r="O134" s="1621"/>
      <c r="P134" s="1622"/>
      <c r="Q134" s="973">
        <f t="shared" si="73"/>
        <v>0</v>
      </c>
      <c r="R134" s="1623"/>
      <c r="S134" s="1621"/>
      <c r="T134" s="1624"/>
      <c r="U134" s="2467">
        <f t="shared" si="43"/>
        <v>0</v>
      </c>
      <c r="V134" s="1624"/>
      <c r="W134" s="1621"/>
      <c r="X134" s="1626"/>
    </row>
    <row r="135" spans="1:24" ht="11.25" hidden="1" customHeight="1" x14ac:dyDescent="0.25">
      <c r="A135" s="1165">
        <f>'Org structure'!E131</f>
        <v>0</v>
      </c>
      <c r="B135" s="293"/>
      <c r="C135" s="1621"/>
      <c r="D135" s="1621"/>
      <c r="E135" s="1624"/>
      <c r="F135" s="1623"/>
      <c r="G135" s="1621"/>
      <c r="H135" s="1622"/>
      <c r="I135" s="1624"/>
      <c r="J135" s="2474">
        <f t="shared" si="70"/>
        <v>0</v>
      </c>
      <c r="K135" s="937">
        <f t="shared" si="71"/>
        <v>0</v>
      </c>
      <c r="L135" s="2475">
        <f t="shared" si="72"/>
        <v>0</v>
      </c>
      <c r="M135" s="320"/>
      <c r="N135" s="1623"/>
      <c r="O135" s="1621"/>
      <c r="P135" s="1622"/>
      <c r="Q135" s="973">
        <f t="shared" si="73"/>
        <v>0</v>
      </c>
      <c r="R135" s="1623"/>
      <c r="S135" s="1621"/>
      <c r="T135" s="1624"/>
      <c r="U135" s="2467">
        <f t="shared" si="43"/>
        <v>0</v>
      </c>
      <c r="V135" s="1624"/>
      <c r="W135" s="1621"/>
      <c r="X135" s="1626"/>
    </row>
    <row r="136" spans="1:24" ht="11.25" hidden="1" customHeight="1" x14ac:dyDescent="0.25">
      <c r="A136" s="1165">
        <f>'Org structure'!E132</f>
        <v>0</v>
      </c>
      <c r="B136" s="293"/>
      <c r="C136" s="1621"/>
      <c r="D136" s="1621"/>
      <c r="E136" s="1624"/>
      <c r="F136" s="1623"/>
      <c r="G136" s="1621"/>
      <c r="H136" s="1622"/>
      <c r="I136" s="1624"/>
      <c r="J136" s="2474">
        <f t="shared" si="70"/>
        <v>0</v>
      </c>
      <c r="K136" s="937">
        <f t="shared" si="71"/>
        <v>0</v>
      </c>
      <c r="L136" s="2475">
        <f t="shared" si="72"/>
        <v>0</v>
      </c>
      <c r="M136" s="320"/>
      <c r="N136" s="1623"/>
      <c r="O136" s="1621"/>
      <c r="P136" s="1622"/>
      <c r="Q136" s="973">
        <f t="shared" si="73"/>
        <v>0</v>
      </c>
      <c r="R136" s="1623"/>
      <c r="S136" s="1621"/>
      <c r="T136" s="1624"/>
      <c r="U136" s="2467">
        <f t="shared" ref="U136:U170" si="74">SUM(R136:T136)</f>
        <v>0</v>
      </c>
      <c r="V136" s="1624"/>
      <c r="W136" s="1621"/>
      <c r="X136" s="1626"/>
    </row>
    <row r="137" spans="1:24" ht="11.25" hidden="1" customHeight="1" x14ac:dyDescent="0.25">
      <c r="A137" s="1165">
        <f>'Org structure'!E133</f>
        <v>0</v>
      </c>
      <c r="B137" s="293"/>
      <c r="C137" s="1621"/>
      <c r="D137" s="1621"/>
      <c r="E137" s="1624"/>
      <c r="F137" s="1623"/>
      <c r="G137" s="1621"/>
      <c r="H137" s="1622"/>
      <c r="I137" s="1624"/>
      <c r="J137" s="2474">
        <f t="shared" si="70"/>
        <v>0</v>
      </c>
      <c r="K137" s="937">
        <f t="shared" si="71"/>
        <v>0</v>
      </c>
      <c r="L137" s="2475">
        <f t="shared" si="72"/>
        <v>0</v>
      </c>
      <c r="M137" s="320"/>
      <c r="N137" s="1623"/>
      <c r="O137" s="1621"/>
      <c r="P137" s="1622"/>
      <c r="Q137" s="973">
        <f t="shared" si="73"/>
        <v>0</v>
      </c>
      <c r="R137" s="1623"/>
      <c r="S137" s="1621"/>
      <c r="T137" s="1624"/>
      <c r="U137" s="2467">
        <f t="shared" si="74"/>
        <v>0</v>
      </c>
      <c r="V137" s="1624"/>
      <c r="W137" s="1621"/>
      <c r="X137" s="1626"/>
    </row>
    <row r="138" spans="1:24" ht="15" hidden="1" customHeight="1" x14ac:dyDescent="0.25">
      <c r="A138" s="1164" t="str">
        <f>'Org structure'!A14</f>
        <v>Vote 13 - 107 COMMUNITY SERVICES</v>
      </c>
      <c r="B138" s="293"/>
      <c r="C138" s="971">
        <f t="shared" ref="C138:L138" si="75">SUM(C139:C148)</f>
        <v>0</v>
      </c>
      <c r="D138" s="971">
        <f t="shared" si="75"/>
        <v>0</v>
      </c>
      <c r="E138" s="972">
        <f t="shared" si="75"/>
        <v>0</v>
      </c>
      <c r="F138" s="973">
        <f t="shared" si="75"/>
        <v>0</v>
      </c>
      <c r="G138" s="971">
        <f t="shared" si="75"/>
        <v>0</v>
      </c>
      <c r="H138" s="972">
        <f t="shared" si="75"/>
        <v>0</v>
      </c>
      <c r="I138" s="974">
        <f t="shared" si="75"/>
        <v>0</v>
      </c>
      <c r="J138" s="2474">
        <f t="shared" si="75"/>
        <v>0</v>
      </c>
      <c r="K138" s="937">
        <f t="shared" si="75"/>
        <v>0</v>
      </c>
      <c r="L138" s="2475">
        <f t="shared" si="75"/>
        <v>0</v>
      </c>
      <c r="M138" s="320"/>
      <c r="N138" s="973">
        <f t="shared" ref="N138:X138" si="76">SUM(N139:N148)</f>
        <v>0</v>
      </c>
      <c r="O138" s="971">
        <f t="shared" si="76"/>
        <v>0</v>
      </c>
      <c r="P138" s="972">
        <f t="shared" si="76"/>
        <v>0</v>
      </c>
      <c r="Q138" s="973">
        <f t="shared" si="76"/>
        <v>0</v>
      </c>
      <c r="R138" s="973">
        <f t="shared" si="76"/>
        <v>0</v>
      </c>
      <c r="S138" s="971">
        <f t="shared" si="76"/>
        <v>0</v>
      </c>
      <c r="T138" s="2471">
        <f t="shared" si="76"/>
        <v>0</v>
      </c>
      <c r="U138" s="2467">
        <f t="shared" si="76"/>
        <v>0</v>
      </c>
      <c r="V138" s="2472">
        <f t="shared" si="76"/>
        <v>0</v>
      </c>
      <c r="W138" s="971">
        <f t="shared" si="76"/>
        <v>0</v>
      </c>
      <c r="X138" s="2473">
        <f t="shared" si="76"/>
        <v>0</v>
      </c>
    </row>
    <row r="139" spans="1:24" ht="11.25" hidden="1" customHeight="1" x14ac:dyDescent="0.25">
      <c r="A139" s="1165" t="str">
        <f>'Org structure'!E135</f>
        <v>13.1 - [Name of sub-vote]</v>
      </c>
      <c r="B139" s="293"/>
      <c r="C139" s="1621"/>
      <c r="D139" s="1621"/>
      <c r="E139" s="1624"/>
      <c r="F139" s="1623"/>
      <c r="G139" s="1621"/>
      <c r="H139" s="1622"/>
      <c r="I139" s="1624"/>
      <c r="J139" s="2474">
        <f t="shared" ref="J139:J148" si="77">Q139+V139</f>
        <v>0</v>
      </c>
      <c r="K139" s="937">
        <f t="shared" ref="K139:K148" si="78">U139+W139</f>
        <v>0</v>
      </c>
      <c r="L139" s="2475">
        <f t="shared" ref="L139:L148" si="79">X139</f>
        <v>0</v>
      </c>
      <c r="M139" s="320"/>
      <c r="N139" s="1623"/>
      <c r="O139" s="1621"/>
      <c r="P139" s="1622"/>
      <c r="Q139" s="973">
        <f t="shared" ref="Q139:Q148" si="80">SUM(N139:P139)</f>
        <v>0</v>
      </c>
      <c r="R139" s="1623"/>
      <c r="S139" s="1621"/>
      <c r="T139" s="1624"/>
      <c r="U139" s="2467">
        <f t="shared" si="74"/>
        <v>0</v>
      </c>
      <c r="V139" s="1624"/>
      <c r="W139" s="1621"/>
      <c r="X139" s="1626"/>
    </row>
    <row r="140" spans="1:24" ht="11.25" hidden="1" customHeight="1" x14ac:dyDescent="0.25">
      <c r="A140" s="1165">
        <f>'Org structure'!E136</f>
        <v>0</v>
      </c>
      <c r="B140" s="293"/>
      <c r="C140" s="1621"/>
      <c r="D140" s="1621"/>
      <c r="E140" s="1624"/>
      <c r="F140" s="1623"/>
      <c r="G140" s="1621"/>
      <c r="H140" s="1622"/>
      <c r="I140" s="1624"/>
      <c r="J140" s="2474">
        <f t="shared" si="77"/>
        <v>0</v>
      </c>
      <c r="K140" s="937">
        <f t="shared" si="78"/>
        <v>0</v>
      </c>
      <c r="L140" s="2475">
        <f t="shared" si="79"/>
        <v>0</v>
      </c>
      <c r="M140" s="320"/>
      <c r="N140" s="1623"/>
      <c r="O140" s="1621"/>
      <c r="P140" s="1622"/>
      <c r="Q140" s="973">
        <f t="shared" si="80"/>
        <v>0</v>
      </c>
      <c r="R140" s="1623"/>
      <c r="S140" s="1621"/>
      <c r="T140" s="1624"/>
      <c r="U140" s="2467">
        <f t="shared" si="74"/>
        <v>0</v>
      </c>
      <c r="V140" s="1624"/>
      <c r="W140" s="1621"/>
      <c r="X140" s="1626"/>
    </row>
    <row r="141" spans="1:24" ht="11.25" hidden="1" customHeight="1" x14ac:dyDescent="0.25">
      <c r="A141" s="1165">
        <f>'Org structure'!E137</f>
        <v>0</v>
      </c>
      <c r="B141" s="293"/>
      <c r="C141" s="1621"/>
      <c r="D141" s="1621"/>
      <c r="E141" s="1624"/>
      <c r="F141" s="1623"/>
      <c r="G141" s="1621"/>
      <c r="H141" s="1622"/>
      <c r="I141" s="1624"/>
      <c r="J141" s="2474">
        <f t="shared" si="77"/>
        <v>0</v>
      </c>
      <c r="K141" s="937">
        <f t="shared" si="78"/>
        <v>0</v>
      </c>
      <c r="L141" s="2475">
        <f t="shared" si="79"/>
        <v>0</v>
      </c>
      <c r="M141" s="320"/>
      <c r="N141" s="1623"/>
      <c r="O141" s="1621"/>
      <c r="P141" s="1622"/>
      <c r="Q141" s="973">
        <f t="shared" si="80"/>
        <v>0</v>
      </c>
      <c r="R141" s="1623"/>
      <c r="S141" s="1621"/>
      <c r="T141" s="1624"/>
      <c r="U141" s="2467">
        <f t="shared" si="74"/>
        <v>0</v>
      </c>
      <c r="V141" s="1624"/>
      <c r="W141" s="1621"/>
      <c r="X141" s="1626"/>
    </row>
    <row r="142" spans="1:24" ht="11.25" hidden="1" customHeight="1" x14ac:dyDescent="0.25">
      <c r="A142" s="1165">
        <f>'Org structure'!E138</f>
        <v>0</v>
      </c>
      <c r="B142" s="293"/>
      <c r="C142" s="1621"/>
      <c r="D142" s="1621"/>
      <c r="E142" s="1624"/>
      <c r="F142" s="1623"/>
      <c r="G142" s="1621"/>
      <c r="H142" s="1622"/>
      <c r="I142" s="1624"/>
      <c r="J142" s="2474">
        <f t="shared" si="77"/>
        <v>0</v>
      </c>
      <c r="K142" s="937">
        <f t="shared" si="78"/>
        <v>0</v>
      </c>
      <c r="L142" s="2475">
        <f t="shared" si="79"/>
        <v>0</v>
      </c>
      <c r="M142" s="320"/>
      <c r="N142" s="1623"/>
      <c r="O142" s="1621"/>
      <c r="P142" s="1622"/>
      <c r="Q142" s="973">
        <f t="shared" si="80"/>
        <v>0</v>
      </c>
      <c r="R142" s="1623"/>
      <c r="S142" s="1621"/>
      <c r="T142" s="1624"/>
      <c r="U142" s="2467">
        <f t="shared" si="74"/>
        <v>0</v>
      </c>
      <c r="V142" s="1624"/>
      <c r="W142" s="1621"/>
      <c r="X142" s="1626"/>
    </row>
    <row r="143" spans="1:24" ht="11.25" hidden="1" customHeight="1" x14ac:dyDescent="0.25">
      <c r="A143" s="1165">
        <f>'Org structure'!E139</f>
        <v>0</v>
      </c>
      <c r="B143" s="293"/>
      <c r="C143" s="1621"/>
      <c r="D143" s="1621"/>
      <c r="E143" s="1624"/>
      <c r="F143" s="1623"/>
      <c r="G143" s="1621"/>
      <c r="H143" s="1622"/>
      <c r="I143" s="1624"/>
      <c r="J143" s="2474">
        <f t="shared" si="77"/>
        <v>0</v>
      </c>
      <c r="K143" s="937">
        <f t="shared" si="78"/>
        <v>0</v>
      </c>
      <c r="L143" s="2475">
        <f t="shared" si="79"/>
        <v>0</v>
      </c>
      <c r="M143" s="320"/>
      <c r="N143" s="1623"/>
      <c r="O143" s="1621"/>
      <c r="P143" s="1622"/>
      <c r="Q143" s="973">
        <f t="shared" si="80"/>
        <v>0</v>
      </c>
      <c r="R143" s="1623"/>
      <c r="S143" s="1621"/>
      <c r="T143" s="1624"/>
      <c r="U143" s="2467">
        <f t="shared" si="74"/>
        <v>0</v>
      </c>
      <c r="V143" s="1624"/>
      <c r="W143" s="1621"/>
      <c r="X143" s="1626"/>
    </row>
    <row r="144" spans="1:24" ht="11.25" hidden="1" customHeight="1" x14ac:dyDescent="0.25">
      <c r="A144" s="1165">
        <f>'Org structure'!E140</f>
        <v>0</v>
      </c>
      <c r="B144" s="293"/>
      <c r="C144" s="1621"/>
      <c r="D144" s="1621"/>
      <c r="E144" s="1624"/>
      <c r="F144" s="1623"/>
      <c r="G144" s="1621"/>
      <c r="H144" s="1622"/>
      <c r="I144" s="1624"/>
      <c r="J144" s="2474">
        <f t="shared" si="77"/>
        <v>0</v>
      </c>
      <c r="K144" s="937">
        <f t="shared" si="78"/>
        <v>0</v>
      </c>
      <c r="L144" s="2475">
        <f t="shared" si="79"/>
        <v>0</v>
      </c>
      <c r="M144" s="320"/>
      <c r="N144" s="1623"/>
      <c r="O144" s="1621"/>
      <c r="P144" s="1622"/>
      <c r="Q144" s="973">
        <f t="shared" si="80"/>
        <v>0</v>
      </c>
      <c r="R144" s="1623"/>
      <c r="S144" s="1621"/>
      <c r="T144" s="1624"/>
      <c r="U144" s="2467">
        <f t="shared" si="74"/>
        <v>0</v>
      </c>
      <c r="V144" s="1624"/>
      <c r="W144" s="1621"/>
      <c r="X144" s="1626"/>
    </row>
    <row r="145" spans="1:24" ht="11.25" hidden="1" customHeight="1" x14ac:dyDescent="0.25">
      <c r="A145" s="1165">
        <f>'Org structure'!E141</f>
        <v>0</v>
      </c>
      <c r="B145" s="293"/>
      <c r="C145" s="1621"/>
      <c r="D145" s="1621"/>
      <c r="E145" s="1624"/>
      <c r="F145" s="1623"/>
      <c r="G145" s="1621"/>
      <c r="H145" s="1622"/>
      <c r="I145" s="1624"/>
      <c r="J145" s="2474">
        <f t="shared" si="77"/>
        <v>0</v>
      </c>
      <c r="K145" s="937">
        <f t="shared" si="78"/>
        <v>0</v>
      </c>
      <c r="L145" s="2475">
        <f t="shared" si="79"/>
        <v>0</v>
      </c>
      <c r="M145" s="320"/>
      <c r="N145" s="1623"/>
      <c r="O145" s="1621"/>
      <c r="P145" s="1622"/>
      <c r="Q145" s="973">
        <f t="shared" si="80"/>
        <v>0</v>
      </c>
      <c r="R145" s="1623"/>
      <c r="S145" s="1621"/>
      <c r="T145" s="1624"/>
      <c r="U145" s="2467">
        <f t="shared" si="74"/>
        <v>0</v>
      </c>
      <c r="V145" s="1624"/>
      <c r="W145" s="1621"/>
      <c r="X145" s="1626"/>
    </row>
    <row r="146" spans="1:24" ht="11.25" hidden="1" customHeight="1" x14ac:dyDescent="0.25">
      <c r="A146" s="1165">
        <f>'Org structure'!E142</f>
        <v>0</v>
      </c>
      <c r="B146" s="293"/>
      <c r="C146" s="1621"/>
      <c r="D146" s="1621"/>
      <c r="E146" s="1624"/>
      <c r="F146" s="1623"/>
      <c r="G146" s="1621"/>
      <c r="H146" s="1622"/>
      <c r="I146" s="1624"/>
      <c r="J146" s="2474">
        <f t="shared" si="77"/>
        <v>0</v>
      </c>
      <c r="K146" s="937">
        <f t="shared" si="78"/>
        <v>0</v>
      </c>
      <c r="L146" s="2475">
        <f t="shared" si="79"/>
        <v>0</v>
      </c>
      <c r="M146" s="320"/>
      <c r="N146" s="1623"/>
      <c r="O146" s="1621"/>
      <c r="P146" s="1622"/>
      <c r="Q146" s="973">
        <f t="shared" si="80"/>
        <v>0</v>
      </c>
      <c r="R146" s="1623"/>
      <c r="S146" s="1621"/>
      <c r="T146" s="1624"/>
      <c r="U146" s="2467">
        <f t="shared" si="74"/>
        <v>0</v>
      </c>
      <c r="V146" s="1624"/>
      <c r="W146" s="1621"/>
      <c r="X146" s="1626"/>
    </row>
    <row r="147" spans="1:24" ht="11.25" hidden="1" customHeight="1" x14ac:dyDescent="0.25">
      <c r="A147" s="1165">
        <f>'Org structure'!E143</f>
        <v>0</v>
      </c>
      <c r="B147" s="293"/>
      <c r="C147" s="1621"/>
      <c r="D147" s="1621"/>
      <c r="E147" s="1624"/>
      <c r="F147" s="1623"/>
      <c r="G147" s="1621"/>
      <c r="H147" s="1622"/>
      <c r="I147" s="1624"/>
      <c r="J147" s="2474">
        <f t="shared" si="77"/>
        <v>0</v>
      </c>
      <c r="K147" s="937">
        <f t="shared" si="78"/>
        <v>0</v>
      </c>
      <c r="L147" s="2475">
        <f t="shared" si="79"/>
        <v>0</v>
      </c>
      <c r="M147" s="320"/>
      <c r="N147" s="1623"/>
      <c r="O147" s="1621"/>
      <c r="P147" s="1622"/>
      <c r="Q147" s="973">
        <f t="shared" si="80"/>
        <v>0</v>
      </c>
      <c r="R147" s="1623"/>
      <c r="S147" s="1621"/>
      <c r="T147" s="1624"/>
      <c r="U147" s="2467">
        <f t="shared" si="74"/>
        <v>0</v>
      </c>
      <c r="V147" s="1624"/>
      <c r="W147" s="1621"/>
      <c r="X147" s="1626"/>
    </row>
    <row r="148" spans="1:24" ht="11.25" hidden="1" customHeight="1" x14ac:dyDescent="0.25">
      <c r="A148" s="1165">
        <f>'Org structure'!E144</f>
        <v>0</v>
      </c>
      <c r="B148" s="293"/>
      <c r="C148" s="1621"/>
      <c r="D148" s="1621"/>
      <c r="E148" s="1624"/>
      <c r="F148" s="1623"/>
      <c r="G148" s="1621"/>
      <c r="H148" s="1622"/>
      <c r="I148" s="1624"/>
      <c r="J148" s="2474">
        <f t="shared" si="77"/>
        <v>0</v>
      </c>
      <c r="K148" s="937">
        <f t="shared" si="78"/>
        <v>0</v>
      </c>
      <c r="L148" s="2475">
        <f t="shared" si="79"/>
        <v>0</v>
      </c>
      <c r="M148" s="320"/>
      <c r="N148" s="1623"/>
      <c r="O148" s="1621"/>
      <c r="P148" s="1622"/>
      <c r="Q148" s="973">
        <f t="shared" si="80"/>
        <v>0</v>
      </c>
      <c r="R148" s="1623"/>
      <c r="S148" s="1621"/>
      <c r="T148" s="1624"/>
      <c r="U148" s="2467">
        <f t="shared" si="74"/>
        <v>0</v>
      </c>
      <c r="V148" s="1624"/>
      <c r="W148" s="1621"/>
      <c r="X148" s="1626"/>
    </row>
    <row r="149" spans="1:24" ht="15" hidden="1" customHeight="1" x14ac:dyDescent="0.25">
      <c r="A149" s="1164" t="str">
        <f>'Org structure'!A15</f>
        <v>Vote 14 - 108 PUBLIC SAFETY &amp; ROADS</v>
      </c>
      <c r="B149" s="293"/>
      <c r="C149" s="971">
        <f t="shared" ref="C149:L149" si="81">SUM(C150:C159)</f>
        <v>0</v>
      </c>
      <c r="D149" s="971">
        <f t="shared" si="81"/>
        <v>0</v>
      </c>
      <c r="E149" s="972">
        <f t="shared" si="81"/>
        <v>0</v>
      </c>
      <c r="F149" s="973">
        <f t="shared" si="81"/>
        <v>0</v>
      </c>
      <c r="G149" s="971">
        <f t="shared" si="81"/>
        <v>0</v>
      </c>
      <c r="H149" s="972">
        <f t="shared" si="81"/>
        <v>0</v>
      </c>
      <c r="I149" s="974">
        <f t="shared" si="81"/>
        <v>0</v>
      </c>
      <c r="J149" s="2474">
        <f t="shared" si="81"/>
        <v>0</v>
      </c>
      <c r="K149" s="937">
        <f t="shared" si="81"/>
        <v>0</v>
      </c>
      <c r="L149" s="2475">
        <f t="shared" si="81"/>
        <v>0</v>
      </c>
      <c r="M149" s="320"/>
      <c r="N149" s="973">
        <f t="shared" ref="N149:X149" si="82">SUM(N150:N159)</f>
        <v>0</v>
      </c>
      <c r="O149" s="971">
        <f t="shared" si="82"/>
        <v>0</v>
      </c>
      <c r="P149" s="972">
        <f t="shared" si="82"/>
        <v>0</v>
      </c>
      <c r="Q149" s="973">
        <f t="shared" si="82"/>
        <v>0</v>
      </c>
      <c r="R149" s="973">
        <f t="shared" si="82"/>
        <v>0</v>
      </c>
      <c r="S149" s="971">
        <f t="shared" si="82"/>
        <v>0</v>
      </c>
      <c r="T149" s="2471">
        <f t="shared" si="82"/>
        <v>0</v>
      </c>
      <c r="U149" s="2467">
        <f t="shared" si="82"/>
        <v>0</v>
      </c>
      <c r="V149" s="2472">
        <f t="shared" si="82"/>
        <v>0</v>
      </c>
      <c r="W149" s="971">
        <f t="shared" si="82"/>
        <v>0</v>
      </c>
      <c r="X149" s="2473">
        <f t="shared" si="82"/>
        <v>0</v>
      </c>
    </row>
    <row r="150" spans="1:24" ht="11.25" hidden="1" customHeight="1" x14ac:dyDescent="0.25">
      <c r="A150" s="1165" t="str">
        <f>'Org structure'!E146</f>
        <v>14.1 - [Name of sub-vote]</v>
      </c>
      <c r="B150" s="293"/>
      <c r="C150" s="1621"/>
      <c r="D150" s="1621"/>
      <c r="E150" s="1624"/>
      <c r="F150" s="1623"/>
      <c r="G150" s="1621"/>
      <c r="H150" s="1622"/>
      <c r="I150" s="1624"/>
      <c r="J150" s="2474">
        <f t="shared" ref="J150:J159" si="83">Q150+V150</f>
        <v>0</v>
      </c>
      <c r="K150" s="937">
        <f t="shared" ref="K150:K159" si="84">U150+W150</f>
        <v>0</v>
      </c>
      <c r="L150" s="2475">
        <f t="shared" ref="L150:L159" si="85">X150</f>
        <v>0</v>
      </c>
      <c r="M150" s="320"/>
      <c r="N150" s="1623"/>
      <c r="O150" s="1621"/>
      <c r="P150" s="1622"/>
      <c r="Q150" s="973">
        <f t="shared" ref="Q150:Q159" si="86">SUM(N150:P150)</f>
        <v>0</v>
      </c>
      <c r="R150" s="1623"/>
      <c r="S150" s="1621"/>
      <c r="T150" s="1624"/>
      <c r="U150" s="2467">
        <f t="shared" si="74"/>
        <v>0</v>
      </c>
      <c r="V150" s="1624"/>
      <c r="W150" s="1621"/>
      <c r="X150" s="1626"/>
    </row>
    <row r="151" spans="1:24" ht="11.25" hidden="1" customHeight="1" x14ac:dyDescent="0.25">
      <c r="A151" s="1165">
        <f>'Org structure'!E147</f>
        <v>0</v>
      </c>
      <c r="B151" s="293"/>
      <c r="C151" s="1621"/>
      <c r="D151" s="1621"/>
      <c r="E151" s="1624"/>
      <c r="F151" s="1623"/>
      <c r="G151" s="1621"/>
      <c r="H151" s="1622"/>
      <c r="I151" s="1624"/>
      <c r="J151" s="2474">
        <f t="shared" si="83"/>
        <v>0</v>
      </c>
      <c r="K151" s="937">
        <f t="shared" si="84"/>
        <v>0</v>
      </c>
      <c r="L151" s="2475">
        <f t="shared" si="85"/>
        <v>0</v>
      </c>
      <c r="M151" s="320"/>
      <c r="N151" s="1623"/>
      <c r="O151" s="1621"/>
      <c r="P151" s="1622"/>
      <c r="Q151" s="973">
        <f t="shared" si="86"/>
        <v>0</v>
      </c>
      <c r="R151" s="1623"/>
      <c r="S151" s="1621"/>
      <c r="T151" s="1624"/>
      <c r="U151" s="2467">
        <f t="shared" si="74"/>
        <v>0</v>
      </c>
      <c r="V151" s="1624"/>
      <c r="W151" s="1621"/>
      <c r="X151" s="1626"/>
    </row>
    <row r="152" spans="1:24" ht="11.25" hidden="1" customHeight="1" x14ac:dyDescent="0.25">
      <c r="A152" s="1165">
        <f>'Org structure'!E148</f>
        <v>0</v>
      </c>
      <c r="B152" s="293"/>
      <c r="C152" s="1621"/>
      <c r="D152" s="1621"/>
      <c r="E152" s="1624"/>
      <c r="F152" s="1623"/>
      <c r="G152" s="1621"/>
      <c r="H152" s="1622"/>
      <c r="I152" s="1624"/>
      <c r="J152" s="2474">
        <f t="shared" si="83"/>
        <v>0</v>
      </c>
      <c r="K152" s="937">
        <f t="shared" si="84"/>
        <v>0</v>
      </c>
      <c r="L152" s="2475">
        <f t="shared" si="85"/>
        <v>0</v>
      </c>
      <c r="M152" s="320"/>
      <c r="N152" s="1623"/>
      <c r="O152" s="1621"/>
      <c r="P152" s="1622"/>
      <c r="Q152" s="973">
        <f t="shared" si="86"/>
        <v>0</v>
      </c>
      <c r="R152" s="1623"/>
      <c r="S152" s="1621"/>
      <c r="T152" s="1624"/>
      <c r="U152" s="2467">
        <f t="shared" si="74"/>
        <v>0</v>
      </c>
      <c r="V152" s="1624"/>
      <c r="W152" s="1621"/>
      <c r="X152" s="1626"/>
    </row>
    <row r="153" spans="1:24" ht="11.25" hidden="1" customHeight="1" x14ac:dyDescent="0.25">
      <c r="A153" s="1165">
        <f>'Org structure'!E149</f>
        <v>0</v>
      </c>
      <c r="B153" s="293"/>
      <c r="C153" s="1621"/>
      <c r="D153" s="1621"/>
      <c r="E153" s="1624"/>
      <c r="F153" s="1623"/>
      <c r="G153" s="1621"/>
      <c r="H153" s="1622"/>
      <c r="I153" s="1624"/>
      <c r="J153" s="2474">
        <f t="shared" si="83"/>
        <v>0</v>
      </c>
      <c r="K153" s="937">
        <f t="shared" si="84"/>
        <v>0</v>
      </c>
      <c r="L153" s="2475">
        <f t="shared" si="85"/>
        <v>0</v>
      </c>
      <c r="M153" s="320"/>
      <c r="N153" s="1623"/>
      <c r="O153" s="1621"/>
      <c r="P153" s="1622"/>
      <c r="Q153" s="973">
        <f t="shared" si="86"/>
        <v>0</v>
      </c>
      <c r="R153" s="1623"/>
      <c r="S153" s="1621"/>
      <c r="T153" s="1624"/>
      <c r="U153" s="2467">
        <f t="shared" si="74"/>
        <v>0</v>
      </c>
      <c r="V153" s="1624"/>
      <c r="W153" s="1621"/>
      <c r="X153" s="1626"/>
    </row>
    <row r="154" spans="1:24" ht="11.25" hidden="1" customHeight="1" x14ac:dyDescent="0.25">
      <c r="A154" s="1165">
        <f>'Org structure'!E150</f>
        <v>0</v>
      </c>
      <c r="B154" s="293"/>
      <c r="C154" s="1621"/>
      <c r="D154" s="1621"/>
      <c r="E154" s="1624"/>
      <c r="F154" s="1623"/>
      <c r="G154" s="1621"/>
      <c r="H154" s="1622"/>
      <c r="I154" s="1624"/>
      <c r="J154" s="2474">
        <f t="shared" si="83"/>
        <v>0</v>
      </c>
      <c r="K154" s="937">
        <f t="shared" si="84"/>
        <v>0</v>
      </c>
      <c r="L154" s="2475">
        <f t="shared" si="85"/>
        <v>0</v>
      </c>
      <c r="M154" s="320"/>
      <c r="N154" s="1623"/>
      <c r="O154" s="1621"/>
      <c r="P154" s="1622"/>
      <c r="Q154" s="973">
        <f t="shared" si="86"/>
        <v>0</v>
      </c>
      <c r="R154" s="1623"/>
      <c r="S154" s="1621"/>
      <c r="T154" s="1624"/>
      <c r="U154" s="2467">
        <f t="shared" si="74"/>
        <v>0</v>
      </c>
      <c r="V154" s="1624"/>
      <c r="W154" s="1621"/>
      <c r="X154" s="1626"/>
    </row>
    <row r="155" spans="1:24" ht="11.25" hidden="1" customHeight="1" x14ac:dyDescent="0.25">
      <c r="A155" s="1165">
        <f>'Org structure'!E151</f>
        <v>0</v>
      </c>
      <c r="B155" s="293"/>
      <c r="C155" s="1621"/>
      <c r="D155" s="1621"/>
      <c r="E155" s="1624"/>
      <c r="F155" s="1623"/>
      <c r="G155" s="1621"/>
      <c r="H155" s="1622"/>
      <c r="I155" s="1624"/>
      <c r="J155" s="2474">
        <f t="shared" si="83"/>
        <v>0</v>
      </c>
      <c r="K155" s="937">
        <f t="shared" si="84"/>
        <v>0</v>
      </c>
      <c r="L155" s="2475">
        <f t="shared" si="85"/>
        <v>0</v>
      </c>
      <c r="M155" s="320"/>
      <c r="N155" s="1623"/>
      <c r="O155" s="1621"/>
      <c r="P155" s="1622"/>
      <c r="Q155" s="973">
        <f t="shared" si="86"/>
        <v>0</v>
      </c>
      <c r="R155" s="1623"/>
      <c r="S155" s="1621"/>
      <c r="T155" s="1624"/>
      <c r="U155" s="2467">
        <f t="shared" si="74"/>
        <v>0</v>
      </c>
      <c r="V155" s="1624"/>
      <c r="W155" s="1621"/>
      <c r="X155" s="1626"/>
    </row>
    <row r="156" spans="1:24" ht="11.25" hidden="1" customHeight="1" x14ac:dyDescent="0.25">
      <c r="A156" s="1165">
        <f>'Org structure'!E152</f>
        <v>0</v>
      </c>
      <c r="B156" s="293"/>
      <c r="C156" s="1621"/>
      <c r="D156" s="1621"/>
      <c r="E156" s="1624"/>
      <c r="F156" s="1623"/>
      <c r="G156" s="1621"/>
      <c r="H156" s="1622"/>
      <c r="I156" s="1624"/>
      <c r="J156" s="2474">
        <f t="shared" si="83"/>
        <v>0</v>
      </c>
      <c r="K156" s="937">
        <f t="shared" si="84"/>
        <v>0</v>
      </c>
      <c r="L156" s="2475">
        <f t="shared" si="85"/>
        <v>0</v>
      </c>
      <c r="M156" s="320"/>
      <c r="N156" s="1623"/>
      <c r="O156" s="1621"/>
      <c r="P156" s="1622"/>
      <c r="Q156" s="973">
        <f t="shared" si="86"/>
        <v>0</v>
      </c>
      <c r="R156" s="1623"/>
      <c r="S156" s="1621"/>
      <c r="T156" s="1624"/>
      <c r="U156" s="2467">
        <f t="shared" si="74"/>
        <v>0</v>
      </c>
      <c r="V156" s="1624"/>
      <c r="W156" s="1621"/>
      <c r="X156" s="1626"/>
    </row>
    <row r="157" spans="1:24" ht="11.25" hidden="1" customHeight="1" x14ac:dyDescent="0.25">
      <c r="A157" s="1165">
        <f>'Org structure'!E153</f>
        <v>0</v>
      </c>
      <c r="B157" s="293"/>
      <c r="C157" s="1621"/>
      <c r="D157" s="1621"/>
      <c r="E157" s="1624"/>
      <c r="F157" s="1623"/>
      <c r="G157" s="1621"/>
      <c r="H157" s="1622"/>
      <c r="I157" s="1624"/>
      <c r="J157" s="2474">
        <f t="shared" si="83"/>
        <v>0</v>
      </c>
      <c r="K157" s="937">
        <f t="shared" si="84"/>
        <v>0</v>
      </c>
      <c r="L157" s="2475">
        <f t="shared" si="85"/>
        <v>0</v>
      </c>
      <c r="M157" s="320"/>
      <c r="N157" s="1623"/>
      <c r="O157" s="1621"/>
      <c r="P157" s="1622"/>
      <c r="Q157" s="973">
        <f t="shared" si="86"/>
        <v>0</v>
      </c>
      <c r="R157" s="1623"/>
      <c r="S157" s="1621"/>
      <c r="T157" s="1624"/>
      <c r="U157" s="2467">
        <f t="shared" si="74"/>
        <v>0</v>
      </c>
      <c r="V157" s="1624"/>
      <c r="W157" s="1621"/>
      <c r="X157" s="1626"/>
    </row>
    <row r="158" spans="1:24" ht="11.25" hidden="1" customHeight="1" x14ac:dyDescent="0.25">
      <c r="A158" s="1165">
        <f>'Org structure'!E154</f>
        <v>0</v>
      </c>
      <c r="B158" s="293"/>
      <c r="C158" s="1621"/>
      <c r="D158" s="1621"/>
      <c r="E158" s="1624"/>
      <c r="F158" s="1623"/>
      <c r="G158" s="1621"/>
      <c r="H158" s="1622"/>
      <c r="I158" s="1624"/>
      <c r="J158" s="2474">
        <f t="shared" si="83"/>
        <v>0</v>
      </c>
      <c r="K158" s="937">
        <f t="shared" si="84"/>
        <v>0</v>
      </c>
      <c r="L158" s="2475">
        <f t="shared" si="85"/>
        <v>0</v>
      </c>
      <c r="M158" s="320"/>
      <c r="N158" s="1623"/>
      <c r="O158" s="1621"/>
      <c r="P158" s="1622"/>
      <c r="Q158" s="973">
        <f t="shared" si="86"/>
        <v>0</v>
      </c>
      <c r="R158" s="1623"/>
      <c r="S158" s="1621"/>
      <c r="T158" s="1624"/>
      <c r="U158" s="2467">
        <f t="shared" si="74"/>
        <v>0</v>
      </c>
      <c r="V158" s="1624"/>
      <c r="W158" s="1621"/>
      <c r="X158" s="1626"/>
    </row>
    <row r="159" spans="1:24" ht="11.25" hidden="1" customHeight="1" x14ac:dyDescent="0.25">
      <c r="A159" s="1165">
        <f>'Org structure'!E155</f>
        <v>0</v>
      </c>
      <c r="B159" s="293"/>
      <c r="C159" s="1621"/>
      <c r="D159" s="1621"/>
      <c r="E159" s="1624"/>
      <c r="F159" s="1623"/>
      <c r="G159" s="1621"/>
      <c r="H159" s="1622"/>
      <c r="I159" s="1624"/>
      <c r="J159" s="2474">
        <f t="shared" si="83"/>
        <v>0</v>
      </c>
      <c r="K159" s="937">
        <f t="shared" si="84"/>
        <v>0</v>
      </c>
      <c r="L159" s="2475">
        <f t="shared" si="85"/>
        <v>0</v>
      </c>
      <c r="M159" s="320"/>
      <c r="N159" s="1623"/>
      <c r="O159" s="1621"/>
      <c r="P159" s="1622"/>
      <c r="Q159" s="973">
        <f t="shared" si="86"/>
        <v>0</v>
      </c>
      <c r="R159" s="1623"/>
      <c r="S159" s="1621"/>
      <c r="T159" s="1624"/>
      <c r="U159" s="2467">
        <f t="shared" si="74"/>
        <v>0</v>
      </c>
      <c r="V159" s="1624"/>
      <c r="W159" s="1621"/>
      <c r="X159" s="1626"/>
    </row>
    <row r="160" spans="1:24" ht="15" hidden="1" customHeight="1" x14ac:dyDescent="0.25">
      <c r="A160" s="1164" t="str">
        <f>'Org structure'!A16</f>
        <v>Vote 15 - 300 SPORTS,RECREATION ARTS,CULTURE AND PROPERTY SERVICES</v>
      </c>
      <c r="B160" s="293"/>
      <c r="C160" s="971">
        <f t="shared" ref="C160:L160" si="87">SUM(C161:C170)</f>
        <v>0</v>
      </c>
      <c r="D160" s="971">
        <f t="shared" si="87"/>
        <v>0</v>
      </c>
      <c r="E160" s="972">
        <f t="shared" si="87"/>
        <v>0</v>
      </c>
      <c r="F160" s="973">
        <f t="shared" si="87"/>
        <v>0</v>
      </c>
      <c r="G160" s="971">
        <f t="shared" si="87"/>
        <v>0</v>
      </c>
      <c r="H160" s="972">
        <f t="shared" si="87"/>
        <v>0</v>
      </c>
      <c r="I160" s="974">
        <f t="shared" si="87"/>
        <v>0</v>
      </c>
      <c r="J160" s="2474">
        <f t="shared" si="87"/>
        <v>0</v>
      </c>
      <c r="K160" s="937">
        <f t="shared" si="87"/>
        <v>0</v>
      </c>
      <c r="L160" s="2475">
        <f t="shared" si="87"/>
        <v>0</v>
      </c>
      <c r="M160" s="320"/>
      <c r="N160" s="973">
        <f t="shared" ref="N160:X160" si="88">SUM(N161:N170)</f>
        <v>0</v>
      </c>
      <c r="O160" s="971">
        <f t="shared" si="88"/>
        <v>0</v>
      </c>
      <c r="P160" s="972">
        <f t="shared" si="88"/>
        <v>0</v>
      </c>
      <c r="Q160" s="973">
        <f t="shared" si="88"/>
        <v>0</v>
      </c>
      <c r="R160" s="973">
        <f t="shared" si="88"/>
        <v>0</v>
      </c>
      <c r="S160" s="971">
        <f t="shared" si="88"/>
        <v>0</v>
      </c>
      <c r="T160" s="2471">
        <f t="shared" si="88"/>
        <v>0</v>
      </c>
      <c r="U160" s="2467">
        <f t="shared" si="88"/>
        <v>0</v>
      </c>
      <c r="V160" s="2472">
        <f t="shared" si="88"/>
        <v>0</v>
      </c>
      <c r="W160" s="971">
        <f t="shared" si="88"/>
        <v>0</v>
      </c>
      <c r="X160" s="2473">
        <f t="shared" si="88"/>
        <v>0</v>
      </c>
    </row>
    <row r="161" spans="1:24" ht="11.25" hidden="1" customHeight="1" x14ac:dyDescent="0.25">
      <c r="A161" s="1165" t="str">
        <f>'Org structure'!E157</f>
        <v>15.1 - [Name of sub-vote]</v>
      </c>
      <c r="B161" s="293"/>
      <c r="C161" s="1621"/>
      <c r="D161" s="1621"/>
      <c r="E161" s="1624"/>
      <c r="F161" s="1623"/>
      <c r="G161" s="1621"/>
      <c r="H161" s="1622"/>
      <c r="I161" s="1624"/>
      <c r="J161" s="2474">
        <f t="shared" ref="J161:J170" si="89">Q161+V161</f>
        <v>0</v>
      </c>
      <c r="K161" s="937">
        <f t="shared" ref="K161:K170" si="90">U161+W161</f>
        <v>0</v>
      </c>
      <c r="L161" s="2475">
        <f t="shared" ref="L161:L170" si="91">X161</f>
        <v>0</v>
      </c>
      <c r="M161" s="320"/>
      <c r="N161" s="1623"/>
      <c r="O161" s="1621"/>
      <c r="P161" s="1622"/>
      <c r="Q161" s="973">
        <f t="shared" ref="Q161:Q170" si="92">SUM(N161:P161)</f>
        <v>0</v>
      </c>
      <c r="R161" s="1623"/>
      <c r="S161" s="1621"/>
      <c r="T161" s="1624"/>
      <c r="U161" s="2467">
        <f t="shared" si="74"/>
        <v>0</v>
      </c>
      <c r="V161" s="1624"/>
      <c r="W161" s="1621"/>
      <c r="X161" s="1626"/>
    </row>
    <row r="162" spans="1:24" ht="11.25" hidden="1" customHeight="1" x14ac:dyDescent="0.25">
      <c r="A162" s="1165">
        <f>'Org structure'!E158</f>
        <v>0</v>
      </c>
      <c r="B162" s="293"/>
      <c r="C162" s="1621"/>
      <c r="D162" s="1621"/>
      <c r="E162" s="1624"/>
      <c r="F162" s="1623"/>
      <c r="G162" s="1621"/>
      <c r="H162" s="1622"/>
      <c r="I162" s="1624"/>
      <c r="J162" s="2474">
        <f t="shared" si="89"/>
        <v>0</v>
      </c>
      <c r="K162" s="937">
        <f t="shared" si="90"/>
        <v>0</v>
      </c>
      <c r="L162" s="2475">
        <f t="shared" si="91"/>
        <v>0</v>
      </c>
      <c r="M162" s="320"/>
      <c r="N162" s="1623"/>
      <c r="O162" s="1621"/>
      <c r="P162" s="1622"/>
      <c r="Q162" s="973">
        <f t="shared" si="92"/>
        <v>0</v>
      </c>
      <c r="R162" s="1623"/>
      <c r="S162" s="1621"/>
      <c r="T162" s="1624"/>
      <c r="U162" s="2467">
        <f t="shared" si="74"/>
        <v>0</v>
      </c>
      <c r="V162" s="1624"/>
      <c r="W162" s="1621"/>
      <c r="X162" s="1626"/>
    </row>
    <row r="163" spans="1:24" ht="11.25" hidden="1" customHeight="1" x14ac:dyDescent="0.25">
      <c r="A163" s="1165">
        <f>'Org structure'!E159</f>
        <v>0</v>
      </c>
      <c r="B163" s="293"/>
      <c r="C163" s="1621"/>
      <c r="D163" s="1621"/>
      <c r="E163" s="1624"/>
      <c r="F163" s="1623"/>
      <c r="G163" s="1621"/>
      <c r="H163" s="1622"/>
      <c r="I163" s="1624"/>
      <c r="J163" s="2474">
        <f t="shared" si="89"/>
        <v>0</v>
      </c>
      <c r="K163" s="937">
        <f t="shared" si="90"/>
        <v>0</v>
      </c>
      <c r="L163" s="2475">
        <f t="shared" si="91"/>
        <v>0</v>
      </c>
      <c r="M163" s="320"/>
      <c r="N163" s="1623"/>
      <c r="O163" s="1621"/>
      <c r="P163" s="1622"/>
      <c r="Q163" s="973">
        <f t="shared" si="92"/>
        <v>0</v>
      </c>
      <c r="R163" s="1623"/>
      <c r="S163" s="1621"/>
      <c r="T163" s="1624"/>
      <c r="U163" s="2467">
        <f t="shared" si="74"/>
        <v>0</v>
      </c>
      <c r="V163" s="1624"/>
      <c r="W163" s="1621"/>
      <c r="X163" s="1626"/>
    </row>
    <row r="164" spans="1:24" ht="11.25" hidden="1" customHeight="1" x14ac:dyDescent="0.25">
      <c r="A164" s="1165">
        <f>'Org structure'!E160</f>
        <v>0</v>
      </c>
      <c r="B164" s="293"/>
      <c r="C164" s="1621"/>
      <c r="D164" s="1621"/>
      <c r="E164" s="1624"/>
      <c r="F164" s="1623"/>
      <c r="G164" s="1621"/>
      <c r="H164" s="1622"/>
      <c r="I164" s="1624"/>
      <c r="J164" s="2474">
        <f t="shared" si="89"/>
        <v>0</v>
      </c>
      <c r="K164" s="937">
        <f t="shared" si="90"/>
        <v>0</v>
      </c>
      <c r="L164" s="2475">
        <f t="shared" si="91"/>
        <v>0</v>
      </c>
      <c r="M164" s="320"/>
      <c r="N164" s="1623"/>
      <c r="O164" s="1621"/>
      <c r="P164" s="1622"/>
      <c r="Q164" s="973">
        <f t="shared" si="92"/>
        <v>0</v>
      </c>
      <c r="R164" s="1623"/>
      <c r="S164" s="1621"/>
      <c r="T164" s="1624"/>
      <c r="U164" s="2467">
        <f t="shared" si="74"/>
        <v>0</v>
      </c>
      <c r="V164" s="1624"/>
      <c r="W164" s="1621"/>
      <c r="X164" s="1626"/>
    </row>
    <row r="165" spans="1:24" ht="11.25" hidden="1" customHeight="1" x14ac:dyDescent="0.25">
      <c r="A165" s="1165">
        <f>'Org structure'!E161</f>
        <v>0</v>
      </c>
      <c r="B165" s="293"/>
      <c r="C165" s="1621"/>
      <c r="D165" s="1621"/>
      <c r="E165" s="1624"/>
      <c r="F165" s="1623"/>
      <c r="G165" s="1621"/>
      <c r="H165" s="1622"/>
      <c r="I165" s="1624"/>
      <c r="J165" s="2474">
        <f t="shared" si="89"/>
        <v>0</v>
      </c>
      <c r="K165" s="937">
        <f t="shared" si="90"/>
        <v>0</v>
      </c>
      <c r="L165" s="2475">
        <f t="shared" si="91"/>
        <v>0</v>
      </c>
      <c r="M165" s="320"/>
      <c r="N165" s="1623"/>
      <c r="O165" s="1621"/>
      <c r="P165" s="1622"/>
      <c r="Q165" s="973">
        <f t="shared" si="92"/>
        <v>0</v>
      </c>
      <c r="R165" s="1623"/>
      <c r="S165" s="1621"/>
      <c r="T165" s="1624"/>
      <c r="U165" s="2467">
        <f t="shared" si="74"/>
        <v>0</v>
      </c>
      <c r="V165" s="1624"/>
      <c r="W165" s="1621"/>
      <c r="X165" s="1626"/>
    </row>
    <row r="166" spans="1:24" ht="11.25" hidden="1" customHeight="1" x14ac:dyDescent="0.25">
      <c r="A166" s="1165">
        <f>'Org structure'!E162</f>
        <v>0</v>
      </c>
      <c r="B166" s="293"/>
      <c r="C166" s="1621"/>
      <c r="D166" s="1621"/>
      <c r="E166" s="1624"/>
      <c r="F166" s="1623"/>
      <c r="G166" s="1621"/>
      <c r="H166" s="1622"/>
      <c r="I166" s="1624"/>
      <c r="J166" s="2474">
        <f t="shared" si="89"/>
        <v>0</v>
      </c>
      <c r="K166" s="937">
        <f t="shared" si="90"/>
        <v>0</v>
      </c>
      <c r="L166" s="2475">
        <f t="shared" si="91"/>
        <v>0</v>
      </c>
      <c r="M166" s="320"/>
      <c r="N166" s="1623"/>
      <c r="O166" s="1621"/>
      <c r="P166" s="1622"/>
      <c r="Q166" s="973">
        <f t="shared" si="92"/>
        <v>0</v>
      </c>
      <c r="R166" s="1623"/>
      <c r="S166" s="1621"/>
      <c r="T166" s="1624"/>
      <c r="U166" s="2467">
        <f t="shared" si="74"/>
        <v>0</v>
      </c>
      <c r="V166" s="1624"/>
      <c r="W166" s="1621"/>
      <c r="X166" s="1626"/>
    </row>
    <row r="167" spans="1:24" ht="11.25" hidden="1" customHeight="1" x14ac:dyDescent="0.25">
      <c r="A167" s="1165">
        <f>'Org structure'!E163</f>
        <v>0</v>
      </c>
      <c r="B167" s="293"/>
      <c r="C167" s="1621"/>
      <c r="D167" s="1621"/>
      <c r="E167" s="1624"/>
      <c r="F167" s="1623"/>
      <c r="G167" s="1621"/>
      <c r="H167" s="1622"/>
      <c r="I167" s="1624"/>
      <c r="J167" s="2474">
        <f t="shared" si="89"/>
        <v>0</v>
      </c>
      <c r="K167" s="937">
        <f t="shared" si="90"/>
        <v>0</v>
      </c>
      <c r="L167" s="2475">
        <f t="shared" si="91"/>
        <v>0</v>
      </c>
      <c r="M167" s="320"/>
      <c r="N167" s="1623"/>
      <c r="O167" s="1621"/>
      <c r="P167" s="1622"/>
      <c r="Q167" s="973">
        <f t="shared" si="92"/>
        <v>0</v>
      </c>
      <c r="R167" s="1623"/>
      <c r="S167" s="1621"/>
      <c r="T167" s="1624"/>
      <c r="U167" s="2467">
        <f t="shared" si="74"/>
        <v>0</v>
      </c>
      <c r="V167" s="1624"/>
      <c r="W167" s="1621"/>
      <c r="X167" s="1626"/>
    </row>
    <row r="168" spans="1:24" ht="11.25" hidden="1" customHeight="1" x14ac:dyDescent="0.25">
      <c r="A168" s="1165">
        <f>'Org structure'!E164</f>
        <v>0</v>
      </c>
      <c r="B168" s="293"/>
      <c r="C168" s="1621"/>
      <c r="D168" s="1621"/>
      <c r="E168" s="1624"/>
      <c r="F168" s="1623"/>
      <c r="G168" s="1621"/>
      <c r="H168" s="1622"/>
      <c r="I168" s="1624"/>
      <c r="J168" s="2474">
        <f t="shared" si="89"/>
        <v>0</v>
      </c>
      <c r="K168" s="937">
        <f t="shared" si="90"/>
        <v>0</v>
      </c>
      <c r="L168" s="2475">
        <f t="shared" si="91"/>
        <v>0</v>
      </c>
      <c r="M168" s="320"/>
      <c r="N168" s="1623"/>
      <c r="O168" s="1621"/>
      <c r="P168" s="1622"/>
      <c r="Q168" s="973">
        <f t="shared" si="92"/>
        <v>0</v>
      </c>
      <c r="R168" s="1623"/>
      <c r="S168" s="1621"/>
      <c r="T168" s="1624"/>
      <c r="U168" s="2467">
        <f t="shared" si="74"/>
        <v>0</v>
      </c>
      <c r="V168" s="1624"/>
      <c r="W168" s="1621"/>
      <c r="X168" s="1626"/>
    </row>
    <row r="169" spans="1:24" ht="11.25" hidden="1" customHeight="1" x14ac:dyDescent="0.25">
      <c r="A169" s="1165">
        <f>'Org structure'!E165</f>
        <v>0</v>
      </c>
      <c r="B169" s="293"/>
      <c r="C169" s="1621"/>
      <c r="D169" s="1621"/>
      <c r="E169" s="1624"/>
      <c r="F169" s="1623"/>
      <c r="G169" s="1621"/>
      <c r="H169" s="1622"/>
      <c r="I169" s="1624"/>
      <c r="J169" s="2474">
        <f t="shared" si="89"/>
        <v>0</v>
      </c>
      <c r="K169" s="937">
        <f t="shared" si="90"/>
        <v>0</v>
      </c>
      <c r="L169" s="2475">
        <f t="shared" si="91"/>
        <v>0</v>
      </c>
      <c r="M169" s="320"/>
      <c r="N169" s="1623"/>
      <c r="O169" s="1621"/>
      <c r="P169" s="1622"/>
      <c r="Q169" s="973">
        <f t="shared" si="92"/>
        <v>0</v>
      </c>
      <c r="R169" s="1623"/>
      <c r="S169" s="1621"/>
      <c r="T169" s="1624"/>
      <c r="U169" s="2467">
        <f t="shared" si="74"/>
        <v>0</v>
      </c>
      <c r="V169" s="1624"/>
      <c r="W169" s="1621"/>
      <c r="X169" s="1626"/>
    </row>
    <row r="170" spans="1:24" ht="11.25" hidden="1" customHeight="1" x14ac:dyDescent="0.25">
      <c r="A170" s="1165">
        <f>'Org structure'!E166</f>
        <v>0</v>
      </c>
      <c r="B170" s="293"/>
      <c r="C170" s="1621"/>
      <c r="D170" s="1621"/>
      <c r="E170" s="1624"/>
      <c r="F170" s="1623"/>
      <c r="G170" s="1621"/>
      <c r="H170" s="1622"/>
      <c r="I170" s="1624"/>
      <c r="J170" s="2474">
        <f t="shared" si="89"/>
        <v>0</v>
      </c>
      <c r="K170" s="937">
        <f t="shared" si="90"/>
        <v>0</v>
      </c>
      <c r="L170" s="2475">
        <f t="shared" si="91"/>
        <v>0</v>
      </c>
      <c r="M170" s="320"/>
      <c r="N170" s="1623"/>
      <c r="O170" s="1621"/>
      <c r="P170" s="1622"/>
      <c r="Q170" s="973">
        <f t="shared" si="92"/>
        <v>0</v>
      </c>
      <c r="R170" s="1623"/>
      <c r="S170" s="1621"/>
      <c r="T170" s="1624"/>
      <c r="U170" s="2467">
        <f t="shared" si="74"/>
        <v>0</v>
      </c>
      <c r="V170" s="1624"/>
      <c r="W170" s="1621"/>
      <c r="X170" s="1626"/>
    </row>
    <row r="171" spans="1:24" x14ac:dyDescent="0.25">
      <c r="A171" s="197" t="s">
        <v>196</v>
      </c>
      <c r="B171" s="293"/>
      <c r="C171" s="198">
        <f>C6+C17+C28+C39+C50+C61+C72+C83+C94+C105+C116+C127+C138+C149+C160</f>
        <v>0</v>
      </c>
      <c r="D171" s="198">
        <f t="shared" ref="D171:L171" si="93">D6+D17+D28+D39+D50+D61+D72+D83+D94+D105+D116+D127+D138+D149+D160</f>
        <v>0</v>
      </c>
      <c r="E171" s="1561">
        <f t="shared" si="93"/>
        <v>0</v>
      </c>
      <c r="F171" s="1560">
        <f t="shared" si="93"/>
        <v>0</v>
      </c>
      <c r="G171" s="198">
        <f t="shared" si="93"/>
        <v>0</v>
      </c>
      <c r="H171" s="1561">
        <f t="shared" si="93"/>
        <v>0</v>
      </c>
      <c r="I171" s="2470">
        <f t="shared" si="93"/>
        <v>0</v>
      </c>
      <c r="J171" s="2476">
        <f t="shared" si="93"/>
        <v>0</v>
      </c>
      <c r="K171" s="1348">
        <f t="shared" si="93"/>
        <v>0</v>
      </c>
      <c r="L171" s="2477">
        <f t="shared" si="93"/>
        <v>0</v>
      </c>
      <c r="M171" s="369"/>
      <c r="N171" s="2468">
        <f t="shared" ref="N171:U171" si="94">N6+N17+N28+N39+N50+N61+N72+N83+N94+N105+N116+N127+N138+N149+N160</f>
        <v>0</v>
      </c>
      <c r="O171" s="198">
        <f t="shared" si="94"/>
        <v>0</v>
      </c>
      <c r="P171" s="1561">
        <f t="shared" si="94"/>
        <v>0</v>
      </c>
      <c r="Q171" s="2480">
        <f t="shared" si="94"/>
        <v>0</v>
      </c>
      <c r="R171" s="2468">
        <f t="shared" si="94"/>
        <v>0</v>
      </c>
      <c r="S171" s="198">
        <f t="shared" si="94"/>
        <v>0</v>
      </c>
      <c r="T171" s="2469"/>
      <c r="U171" s="1562">
        <f t="shared" si="94"/>
        <v>0</v>
      </c>
      <c r="V171" s="1560">
        <f>V6+V17+V28+V39+V50+V61+V72+V83+V94+V105+V116+V127+V138+V149+V160</f>
        <v>0</v>
      </c>
      <c r="W171" s="198">
        <f>W6+W17+W28+W39+W50+W61+W72+W83+W94+W105+W116+W127+W138+W149+W160</f>
        <v>0</v>
      </c>
      <c r="X171" s="1561"/>
    </row>
    <row r="172" spans="1:24" ht="5.0999999999999996" customHeight="1" x14ac:dyDescent="0.25">
      <c r="A172" s="336"/>
      <c r="B172" s="347"/>
      <c r="C172" s="432"/>
      <c r="D172" s="1018"/>
      <c r="E172" s="435"/>
      <c r="F172" s="434"/>
      <c r="G172" s="432"/>
      <c r="H172" s="433"/>
      <c r="I172" s="435"/>
      <c r="J172" s="434"/>
      <c r="K172" s="432"/>
      <c r="L172" s="433"/>
      <c r="M172" s="369"/>
      <c r="N172" s="434"/>
      <c r="O172" s="432"/>
      <c r="P172" s="433"/>
      <c r="Q172" s="435"/>
      <c r="R172" s="434"/>
      <c r="S172" s="432"/>
      <c r="T172" s="435"/>
      <c r="U172" s="2085"/>
      <c r="V172" s="435"/>
      <c r="W172" s="432"/>
      <c r="X172" s="433"/>
    </row>
    <row r="173" spans="1:24" ht="11.25" customHeight="1" x14ac:dyDescent="0.25">
      <c r="A173" s="181" t="s">
        <v>1800</v>
      </c>
      <c r="B173" s="291"/>
      <c r="C173" s="311"/>
      <c r="D173" s="311"/>
      <c r="E173" s="312"/>
      <c r="F173" s="313"/>
      <c r="G173" s="311"/>
      <c r="H173" s="314"/>
      <c r="I173" s="312"/>
      <c r="J173" s="313"/>
      <c r="K173" s="311"/>
      <c r="L173" s="314"/>
      <c r="M173" s="369"/>
    </row>
    <row r="174" spans="1:24" ht="11.25" customHeight="1" x14ac:dyDescent="0.25">
      <c r="A174" s="181" t="s">
        <v>1027</v>
      </c>
      <c r="B174" s="293">
        <v>2</v>
      </c>
      <c r="C174" s="315"/>
      <c r="D174" s="315"/>
      <c r="E174" s="316"/>
      <c r="F174" s="317"/>
      <c r="G174" s="315"/>
      <c r="H174" s="318"/>
      <c r="I174" s="316"/>
      <c r="J174" s="317"/>
      <c r="K174" s="315"/>
      <c r="L174" s="318"/>
      <c r="M174" s="1549"/>
    </row>
    <row r="175" spans="1:24" ht="15" customHeight="1" x14ac:dyDescent="0.25">
      <c r="A175" s="1164" t="str">
        <f>A6</f>
        <v>Vote 1 - 100 COUNCIL &amp; GENERAL</v>
      </c>
      <c r="B175" s="976"/>
      <c r="C175" s="971">
        <f t="shared" ref="C175:L175" si="95">SUM(C176:C185)</f>
        <v>44966000</v>
      </c>
      <c r="D175" s="971">
        <f t="shared" si="95"/>
        <v>0</v>
      </c>
      <c r="E175" s="972">
        <f t="shared" si="95"/>
        <v>0</v>
      </c>
      <c r="F175" s="973">
        <f t="shared" si="95"/>
        <v>0</v>
      </c>
      <c r="G175" s="971">
        <f t="shared" si="95"/>
        <v>0</v>
      </c>
      <c r="H175" s="972">
        <f t="shared" si="95"/>
        <v>0</v>
      </c>
      <c r="I175" s="938">
        <f t="shared" si="95"/>
        <v>0</v>
      </c>
      <c r="J175" s="973">
        <f t="shared" si="95"/>
        <v>0</v>
      </c>
      <c r="K175" s="971">
        <f t="shared" si="95"/>
        <v>0</v>
      </c>
      <c r="L175" s="972">
        <f t="shared" si="95"/>
        <v>0</v>
      </c>
      <c r="M175" s="1549"/>
    </row>
    <row r="176" spans="1:24" ht="11.25" customHeight="1" x14ac:dyDescent="0.25">
      <c r="A176" s="1165" t="s">
        <v>2766</v>
      </c>
      <c r="B176" s="293"/>
      <c r="C176" s="1621">
        <v>44966000</v>
      </c>
      <c r="D176" s="1621"/>
      <c r="E176" s="1628"/>
      <c r="F176" s="1623"/>
      <c r="G176" s="1621"/>
      <c r="H176" s="1622"/>
      <c r="I176" s="1624"/>
      <c r="J176" s="1623"/>
      <c r="K176" s="1621"/>
      <c r="L176" s="1622"/>
      <c r="M176" s="1549"/>
    </row>
    <row r="177" spans="1:13" ht="11.25" hidden="1" customHeight="1" x14ac:dyDescent="0.25">
      <c r="A177" s="1164">
        <f t="shared" ref="A177:A219" si="96">A8</f>
        <v>0</v>
      </c>
      <c r="B177" s="293"/>
      <c r="C177" s="1621"/>
      <c r="D177" s="1621"/>
      <c r="E177" s="1622"/>
      <c r="F177" s="1623"/>
      <c r="G177" s="1621"/>
      <c r="H177" s="1622"/>
      <c r="I177" s="1624"/>
      <c r="J177" s="1623"/>
      <c r="K177" s="1621"/>
      <c r="L177" s="1622"/>
      <c r="M177" s="1549"/>
    </row>
    <row r="178" spans="1:13" ht="11.25" hidden="1" customHeight="1" x14ac:dyDescent="0.25">
      <c r="A178" s="1164">
        <f t="shared" si="96"/>
        <v>0</v>
      </c>
      <c r="B178" s="293"/>
      <c r="C178" s="1621"/>
      <c r="D178" s="1621"/>
      <c r="E178" s="1622"/>
      <c r="F178" s="1623"/>
      <c r="G178" s="1621"/>
      <c r="H178" s="1622"/>
      <c r="I178" s="1624"/>
      <c r="J178" s="1623"/>
      <c r="K178" s="1621"/>
      <c r="L178" s="1622"/>
      <c r="M178" s="1549"/>
    </row>
    <row r="179" spans="1:13" ht="11.25" hidden="1" customHeight="1" x14ac:dyDescent="0.25">
      <c r="A179" s="1164">
        <f t="shared" si="96"/>
        <v>0</v>
      </c>
      <c r="B179" s="293"/>
      <c r="C179" s="1621"/>
      <c r="D179" s="1621"/>
      <c r="E179" s="1622"/>
      <c r="F179" s="1623"/>
      <c r="G179" s="1621"/>
      <c r="H179" s="1622"/>
      <c r="I179" s="1624"/>
      <c r="J179" s="1623"/>
      <c r="K179" s="1621"/>
      <c r="L179" s="1622"/>
      <c r="M179" s="1549"/>
    </row>
    <row r="180" spans="1:13" ht="11.25" hidden="1" customHeight="1" x14ac:dyDescent="0.25">
      <c r="A180" s="1164">
        <f t="shared" si="96"/>
        <v>0</v>
      </c>
      <c r="B180" s="293"/>
      <c r="C180" s="1621"/>
      <c r="D180" s="1621"/>
      <c r="E180" s="1622"/>
      <c r="F180" s="1623"/>
      <c r="G180" s="1621"/>
      <c r="H180" s="1622"/>
      <c r="I180" s="1624"/>
      <c r="J180" s="1623"/>
      <c r="K180" s="1621"/>
      <c r="L180" s="1622"/>
      <c r="M180" s="1549"/>
    </row>
    <row r="181" spans="1:13" ht="11.25" hidden="1" customHeight="1" x14ac:dyDescent="0.25">
      <c r="A181" s="1164">
        <f t="shared" si="96"/>
        <v>0</v>
      </c>
      <c r="B181" s="293"/>
      <c r="C181" s="1621"/>
      <c r="D181" s="1621"/>
      <c r="E181" s="1622"/>
      <c r="F181" s="1623"/>
      <c r="G181" s="1621"/>
      <c r="H181" s="1622"/>
      <c r="I181" s="1624"/>
      <c r="J181" s="1623"/>
      <c r="K181" s="1621"/>
      <c r="L181" s="1622"/>
      <c r="M181" s="1549"/>
    </row>
    <row r="182" spans="1:13" ht="11.25" hidden="1" customHeight="1" x14ac:dyDescent="0.25">
      <c r="A182" s="1164">
        <f t="shared" si="96"/>
        <v>0</v>
      </c>
      <c r="B182" s="293"/>
      <c r="C182" s="1621"/>
      <c r="D182" s="1621"/>
      <c r="E182" s="1622"/>
      <c r="F182" s="1623"/>
      <c r="G182" s="1621"/>
      <c r="H182" s="1622"/>
      <c r="I182" s="1624"/>
      <c r="J182" s="1623"/>
      <c r="K182" s="1621"/>
      <c r="L182" s="1622"/>
      <c r="M182" s="1549"/>
    </row>
    <row r="183" spans="1:13" ht="11.25" hidden="1" customHeight="1" x14ac:dyDescent="0.25">
      <c r="A183" s="1164">
        <f t="shared" si="96"/>
        <v>0</v>
      </c>
      <c r="B183" s="293"/>
      <c r="C183" s="1621"/>
      <c r="D183" s="1621"/>
      <c r="E183" s="1622"/>
      <c r="F183" s="1623"/>
      <c r="G183" s="1621"/>
      <c r="H183" s="1622"/>
      <c r="I183" s="1624"/>
      <c r="J183" s="1623"/>
      <c r="K183" s="1621"/>
      <c r="L183" s="1622"/>
      <c r="M183" s="1549"/>
    </row>
    <row r="184" spans="1:13" ht="11.25" hidden="1" customHeight="1" x14ac:dyDescent="0.25">
      <c r="A184" s="1164">
        <f t="shared" si="96"/>
        <v>0</v>
      </c>
      <c r="B184" s="293"/>
      <c r="C184" s="1621"/>
      <c r="D184" s="1621"/>
      <c r="E184" s="1622"/>
      <c r="F184" s="1623"/>
      <c r="G184" s="1621"/>
      <c r="H184" s="1622"/>
      <c r="I184" s="1624"/>
      <c r="J184" s="1623"/>
      <c r="K184" s="1621"/>
      <c r="L184" s="1622"/>
      <c r="M184" s="1549"/>
    </row>
    <row r="185" spans="1:13" ht="11.25" hidden="1" customHeight="1" x14ac:dyDescent="0.25">
      <c r="A185" s="1164">
        <f t="shared" si="96"/>
        <v>0</v>
      </c>
      <c r="B185" s="293"/>
      <c r="C185" s="1621"/>
      <c r="D185" s="1621"/>
      <c r="E185" s="1622"/>
      <c r="F185" s="1623"/>
      <c r="G185" s="1621"/>
      <c r="H185" s="1622"/>
      <c r="I185" s="1624"/>
      <c r="J185" s="1623"/>
      <c r="K185" s="1621"/>
      <c r="L185" s="1622"/>
      <c r="M185" s="1549"/>
    </row>
    <row r="186" spans="1:13" ht="15" hidden="1" customHeight="1" x14ac:dyDescent="0.25">
      <c r="A186" s="1164" t="str">
        <f t="shared" si="96"/>
        <v>Vote 2 - 102 MUNICIPAL MANAGER</v>
      </c>
      <c r="B186" s="976"/>
      <c r="C186" s="971">
        <f t="shared" ref="C186:L186" si="97">SUM(C187:C196)</f>
        <v>0</v>
      </c>
      <c r="D186" s="971">
        <f t="shared" si="97"/>
        <v>0</v>
      </c>
      <c r="E186" s="972">
        <f t="shared" si="97"/>
        <v>0</v>
      </c>
      <c r="F186" s="973">
        <f t="shared" si="97"/>
        <v>0</v>
      </c>
      <c r="G186" s="971">
        <f t="shared" si="97"/>
        <v>0</v>
      </c>
      <c r="H186" s="972">
        <f t="shared" si="97"/>
        <v>0</v>
      </c>
      <c r="I186" s="974">
        <f t="shared" si="97"/>
        <v>0</v>
      </c>
      <c r="J186" s="973">
        <f t="shared" si="97"/>
        <v>0</v>
      </c>
      <c r="K186" s="971">
        <f t="shared" si="97"/>
        <v>0</v>
      </c>
      <c r="L186" s="972">
        <f t="shared" si="97"/>
        <v>0</v>
      </c>
      <c r="M186" s="1549"/>
    </row>
    <row r="187" spans="1:13" ht="11.25" hidden="1" customHeight="1" x14ac:dyDescent="0.25">
      <c r="A187" s="1164" t="str">
        <f t="shared" si="96"/>
        <v>2.1 - [Name of sub-vote]</v>
      </c>
      <c r="B187" s="293"/>
      <c r="C187" s="1621"/>
      <c r="D187" s="1621"/>
      <c r="E187" s="1622"/>
      <c r="F187" s="1623"/>
      <c r="G187" s="1621"/>
      <c r="H187" s="1622"/>
      <c r="I187" s="1624"/>
      <c r="J187" s="1623"/>
      <c r="K187" s="1621"/>
      <c r="L187" s="1622"/>
      <c r="M187" s="1549"/>
    </row>
    <row r="188" spans="1:13" ht="11.25" hidden="1" customHeight="1" x14ac:dyDescent="0.25">
      <c r="A188" s="1164">
        <f t="shared" si="96"/>
        <v>0</v>
      </c>
      <c r="B188" s="293"/>
      <c r="C188" s="1621"/>
      <c r="D188" s="1621"/>
      <c r="E188" s="1622"/>
      <c r="F188" s="1623"/>
      <c r="G188" s="1621"/>
      <c r="H188" s="1622"/>
      <c r="I188" s="1624"/>
      <c r="J188" s="1623"/>
      <c r="K188" s="1621"/>
      <c r="L188" s="1622"/>
      <c r="M188" s="1549"/>
    </row>
    <row r="189" spans="1:13" ht="11.25" hidden="1" customHeight="1" x14ac:dyDescent="0.25">
      <c r="A189" s="1164">
        <f t="shared" si="96"/>
        <v>0</v>
      </c>
      <c r="B189" s="293"/>
      <c r="C189" s="1621"/>
      <c r="D189" s="1621"/>
      <c r="E189" s="1622"/>
      <c r="F189" s="1623"/>
      <c r="G189" s="1621"/>
      <c r="H189" s="1622"/>
      <c r="I189" s="1624"/>
      <c r="J189" s="1623"/>
      <c r="K189" s="1621"/>
      <c r="L189" s="1622"/>
      <c r="M189" s="1549"/>
    </row>
    <row r="190" spans="1:13" ht="11.25" hidden="1" customHeight="1" x14ac:dyDescent="0.25">
      <c r="A190" s="1164">
        <f t="shared" si="96"/>
        <v>0</v>
      </c>
      <c r="B190" s="293"/>
      <c r="C190" s="1621"/>
      <c r="D190" s="1621"/>
      <c r="E190" s="1622"/>
      <c r="F190" s="1623"/>
      <c r="G190" s="1621"/>
      <c r="H190" s="1622"/>
      <c r="I190" s="1624"/>
      <c r="J190" s="1623"/>
      <c r="K190" s="1621"/>
      <c r="L190" s="1622"/>
      <c r="M190" s="1549"/>
    </row>
    <row r="191" spans="1:13" ht="11.25" hidden="1" customHeight="1" x14ac:dyDescent="0.25">
      <c r="A191" s="1164">
        <f t="shared" si="96"/>
        <v>0</v>
      </c>
      <c r="B191" s="293"/>
      <c r="C191" s="1621"/>
      <c r="D191" s="1621"/>
      <c r="E191" s="1622"/>
      <c r="F191" s="1623"/>
      <c r="G191" s="1621"/>
      <c r="H191" s="1622"/>
      <c r="I191" s="1624"/>
      <c r="J191" s="1623"/>
      <c r="K191" s="1621"/>
      <c r="L191" s="1622"/>
      <c r="M191" s="1549"/>
    </row>
    <row r="192" spans="1:13" ht="11.25" hidden="1" customHeight="1" x14ac:dyDescent="0.25">
      <c r="A192" s="1164">
        <f t="shared" si="96"/>
        <v>0</v>
      </c>
      <c r="B192" s="293"/>
      <c r="C192" s="1621"/>
      <c r="D192" s="1621"/>
      <c r="E192" s="1622"/>
      <c r="F192" s="1623"/>
      <c r="G192" s="1621"/>
      <c r="H192" s="1622"/>
      <c r="I192" s="1624"/>
      <c r="J192" s="1623"/>
      <c r="K192" s="1621"/>
      <c r="L192" s="1622"/>
      <c r="M192" s="1549"/>
    </row>
    <row r="193" spans="1:13" ht="11.25" hidden="1" customHeight="1" x14ac:dyDescent="0.25">
      <c r="A193" s="1164">
        <f t="shared" si="96"/>
        <v>0</v>
      </c>
      <c r="B193" s="293"/>
      <c r="C193" s="1621"/>
      <c r="D193" s="1621"/>
      <c r="E193" s="1622"/>
      <c r="F193" s="1623"/>
      <c r="G193" s="1621"/>
      <c r="H193" s="1622"/>
      <c r="I193" s="1624"/>
      <c r="J193" s="1623"/>
      <c r="K193" s="1621"/>
      <c r="L193" s="1622"/>
      <c r="M193" s="1549"/>
    </row>
    <row r="194" spans="1:13" ht="13.5" hidden="1" x14ac:dyDescent="0.25">
      <c r="A194" s="1164">
        <f t="shared" si="96"/>
        <v>0</v>
      </c>
      <c r="B194" s="293"/>
      <c r="C194" s="1621"/>
      <c r="D194" s="1621"/>
      <c r="E194" s="1622"/>
      <c r="F194" s="1623"/>
      <c r="G194" s="1621"/>
      <c r="H194" s="1622"/>
      <c r="I194" s="1624"/>
      <c r="J194" s="1623"/>
      <c r="K194" s="1621"/>
      <c r="L194" s="1622"/>
      <c r="M194" s="1549"/>
    </row>
    <row r="195" spans="1:13" ht="11.25" hidden="1" customHeight="1" x14ac:dyDescent="0.25">
      <c r="A195" s="1164">
        <f t="shared" si="96"/>
        <v>0</v>
      </c>
      <c r="B195" s="293"/>
      <c r="C195" s="1621"/>
      <c r="D195" s="1621"/>
      <c r="E195" s="1622"/>
      <c r="F195" s="1623"/>
      <c r="G195" s="1621"/>
      <c r="H195" s="1622"/>
      <c r="I195" s="1624"/>
      <c r="J195" s="1623"/>
      <c r="K195" s="1621"/>
      <c r="L195" s="1622"/>
      <c r="M195" s="1549"/>
    </row>
    <row r="196" spans="1:13" ht="11.25" hidden="1" customHeight="1" x14ac:dyDescent="0.25">
      <c r="A196" s="1164">
        <f t="shared" si="96"/>
        <v>0</v>
      </c>
      <c r="B196" s="293"/>
      <c r="C196" s="1621"/>
      <c r="D196" s="1621"/>
      <c r="E196" s="1622"/>
      <c r="F196" s="1623"/>
      <c r="G196" s="1621"/>
      <c r="H196" s="1622"/>
      <c r="I196" s="1624"/>
      <c r="J196" s="1623"/>
      <c r="K196" s="1621"/>
      <c r="L196" s="1622"/>
      <c r="M196" s="1549"/>
    </row>
    <row r="197" spans="1:13" ht="15" hidden="1" customHeight="1" x14ac:dyDescent="0.25">
      <c r="A197" s="1164" t="str">
        <f t="shared" si="96"/>
        <v>Vote 3 - 103 PLANNING and DEVELOPMENT</v>
      </c>
      <c r="B197" s="976"/>
      <c r="C197" s="971">
        <f t="shared" ref="C197:L197" si="98">SUM(C198:C207)</f>
        <v>0</v>
      </c>
      <c r="D197" s="971">
        <f t="shared" si="98"/>
        <v>0</v>
      </c>
      <c r="E197" s="972">
        <f t="shared" si="98"/>
        <v>0</v>
      </c>
      <c r="F197" s="973">
        <f t="shared" si="98"/>
        <v>0</v>
      </c>
      <c r="G197" s="971">
        <f t="shared" si="98"/>
        <v>0</v>
      </c>
      <c r="H197" s="972">
        <f t="shared" si="98"/>
        <v>0</v>
      </c>
      <c r="I197" s="974">
        <f t="shared" si="98"/>
        <v>0</v>
      </c>
      <c r="J197" s="973">
        <f t="shared" si="98"/>
        <v>0</v>
      </c>
      <c r="K197" s="971">
        <f t="shared" si="98"/>
        <v>0</v>
      </c>
      <c r="L197" s="972">
        <f t="shared" si="98"/>
        <v>0</v>
      </c>
      <c r="M197" s="1549"/>
    </row>
    <row r="198" spans="1:13" ht="11.25" hidden="1" customHeight="1" x14ac:dyDescent="0.25">
      <c r="A198" s="1164" t="str">
        <f t="shared" si="96"/>
        <v>3.1 - [Name of sub-vote]</v>
      </c>
      <c r="B198" s="293"/>
      <c r="C198" s="1621"/>
      <c r="D198" s="1621"/>
      <c r="E198" s="1622"/>
      <c r="F198" s="1623"/>
      <c r="G198" s="1621"/>
      <c r="H198" s="1622"/>
      <c r="I198" s="1624"/>
      <c r="J198" s="1623"/>
      <c r="K198" s="1621"/>
      <c r="L198" s="1622"/>
      <c r="M198" s="1549"/>
    </row>
    <row r="199" spans="1:13" ht="11.25" hidden="1" customHeight="1" x14ac:dyDescent="0.25">
      <c r="A199" s="1164">
        <f t="shared" si="96"/>
        <v>0</v>
      </c>
      <c r="B199" s="293"/>
      <c r="C199" s="1621"/>
      <c r="D199" s="1621"/>
      <c r="E199" s="1622"/>
      <c r="F199" s="1623"/>
      <c r="G199" s="1621"/>
      <c r="H199" s="1622"/>
      <c r="I199" s="1624"/>
      <c r="J199" s="1623"/>
      <c r="K199" s="1621"/>
      <c r="L199" s="1622"/>
      <c r="M199" s="1549"/>
    </row>
    <row r="200" spans="1:13" ht="11.25" hidden="1" customHeight="1" x14ac:dyDescent="0.25">
      <c r="A200" s="1164">
        <f t="shared" si="96"/>
        <v>0</v>
      </c>
      <c r="B200" s="293"/>
      <c r="C200" s="1621"/>
      <c r="D200" s="1621"/>
      <c r="E200" s="1622"/>
      <c r="F200" s="1623"/>
      <c r="G200" s="1621"/>
      <c r="H200" s="1622"/>
      <c r="I200" s="1624"/>
      <c r="J200" s="1623"/>
      <c r="K200" s="1621"/>
      <c r="L200" s="1622"/>
      <c r="M200" s="1549"/>
    </row>
    <row r="201" spans="1:13" ht="11.25" hidden="1" customHeight="1" x14ac:dyDescent="0.25">
      <c r="A201" s="1164">
        <f t="shared" si="96"/>
        <v>0</v>
      </c>
      <c r="B201" s="293"/>
      <c r="C201" s="1044"/>
      <c r="D201" s="1044"/>
      <c r="E201" s="1045"/>
      <c r="F201" s="1046"/>
      <c r="G201" s="1044"/>
      <c r="H201" s="1045"/>
      <c r="I201" s="1047"/>
      <c r="J201" s="1046"/>
      <c r="K201" s="1044"/>
      <c r="L201" s="1045"/>
      <c r="M201" s="1549"/>
    </row>
    <row r="202" spans="1:13" ht="11.25" hidden="1" customHeight="1" x14ac:dyDescent="0.25">
      <c r="A202" s="1164">
        <f t="shared" si="96"/>
        <v>0</v>
      </c>
      <c r="B202" s="293"/>
      <c r="C202" s="1044"/>
      <c r="D202" s="1044"/>
      <c r="E202" s="1045"/>
      <c r="F202" s="1046"/>
      <c r="G202" s="1044"/>
      <c r="H202" s="1045"/>
      <c r="I202" s="1047"/>
      <c r="J202" s="1046"/>
      <c r="K202" s="1044"/>
      <c r="L202" s="1045"/>
      <c r="M202" s="1549"/>
    </row>
    <row r="203" spans="1:13" ht="11.25" hidden="1" customHeight="1" x14ac:dyDescent="0.25">
      <c r="A203" s="1164">
        <f t="shared" si="96"/>
        <v>0</v>
      </c>
      <c r="B203" s="293"/>
      <c r="C203" s="1044"/>
      <c r="D203" s="1044"/>
      <c r="E203" s="1045"/>
      <c r="F203" s="1046"/>
      <c r="G203" s="1044"/>
      <c r="H203" s="1045"/>
      <c r="I203" s="1047"/>
      <c r="J203" s="1046"/>
      <c r="K203" s="1044"/>
      <c r="L203" s="1045"/>
      <c r="M203" s="1549"/>
    </row>
    <row r="204" spans="1:13" ht="13.5" hidden="1" x14ac:dyDescent="0.25">
      <c r="A204" s="1164">
        <f t="shared" si="96"/>
        <v>0</v>
      </c>
      <c r="B204" s="293"/>
      <c r="C204" s="1044"/>
      <c r="D204" s="1044"/>
      <c r="E204" s="1045"/>
      <c r="F204" s="1046"/>
      <c r="G204" s="1044"/>
      <c r="H204" s="1045"/>
      <c r="I204" s="1047"/>
      <c r="J204" s="1046"/>
      <c r="K204" s="1044"/>
      <c r="L204" s="1045"/>
      <c r="M204" s="1549"/>
    </row>
    <row r="205" spans="1:13" ht="13.5" hidden="1" x14ac:dyDescent="0.25">
      <c r="A205" s="1164">
        <f t="shared" si="96"/>
        <v>0</v>
      </c>
      <c r="B205" s="293"/>
      <c r="C205" s="1044"/>
      <c r="D205" s="1044"/>
      <c r="E205" s="1045"/>
      <c r="F205" s="1046"/>
      <c r="G205" s="1044"/>
      <c r="H205" s="1045"/>
      <c r="I205" s="1047"/>
      <c r="J205" s="1046"/>
      <c r="K205" s="1044"/>
      <c r="L205" s="1045"/>
      <c r="M205" s="1549"/>
    </row>
    <row r="206" spans="1:13" ht="11.25" hidden="1" customHeight="1" x14ac:dyDescent="0.25">
      <c r="A206" s="1164">
        <f t="shared" si="96"/>
        <v>0</v>
      </c>
      <c r="B206" s="293"/>
      <c r="C206" s="1044"/>
      <c r="D206" s="1044"/>
      <c r="E206" s="1045"/>
      <c r="F206" s="1046"/>
      <c r="G206" s="1044"/>
      <c r="H206" s="1045"/>
      <c r="I206" s="1047"/>
      <c r="J206" s="1046"/>
      <c r="K206" s="1044"/>
      <c r="L206" s="1045"/>
      <c r="M206" s="1549"/>
    </row>
    <row r="207" spans="1:13" ht="13.5" x14ac:dyDescent="0.25">
      <c r="A207" s="1164">
        <f t="shared" si="96"/>
        <v>0</v>
      </c>
      <c r="B207" s="293"/>
      <c r="C207" s="1044"/>
      <c r="D207" s="1044"/>
      <c r="E207" s="1045"/>
      <c r="F207" s="1046"/>
      <c r="G207" s="1044"/>
      <c r="H207" s="1045"/>
      <c r="I207" s="1047"/>
      <c r="J207" s="1046"/>
      <c r="K207" s="1044"/>
      <c r="L207" s="1045"/>
      <c r="M207" s="1549"/>
    </row>
    <row r="208" spans="1:13" ht="15" customHeight="1" x14ac:dyDescent="0.25">
      <c r="A208" s="1164" t="str">
        <f t="shared" si="96"/>
        <v>Vote 4 - 104 FINANCE</v>
      </c>
      <c r="B208" s="976"/>
      <c r="C208" s="971">
        <f t="shared" ref="C208:L208" si="99">SUM(C209:C218)</f>
        <v>0</v>
      </c>
      <c r="D208" s="971">
        <f t="shared" si="99"/>
        <v>234000</v>
      </c>
      <c r="E208" s="972">
        <f t="shared" si="99"/>
        <v>0</v>
      </c>
      <c r="F208" s="977">
        <f t="shared" si="99"/>
        <v>0</v>
      </c>
      <c r="G208" s="971">
        <f t="shared" si="99"/>
        <v>0</v>
      </c>
      <c r="H208" s="972">
        <f t="shared" si="99"/>
        <v>0</v>
      </c>
      <c r="I208" s="974">
        <f t="shared" si="99"/>
        <v>0</v>
      </c>
      <c r="J208" s="973">
        <f t="shared" si="99"/>
        <v>0</v>
      </c>
      <c r="K208" s="971">
        <f t="shared" si="99"/>
        <v>0</v>
      </c>
      <c r="L208" s="978">
        <f t="shared" si="99"/>
        <v>0</v>
      </c>
      <c r="M208" s="1549"/>
    </row>
    <row r="209" spans="1:13" ht="13.5" x14ac:dyDescent="0.25">
      <c r="A209" s="1164" t="s">
        <v>2770</v>
      </c>
      <c r="B209" s="293"/>
      <c r="C209" s="1044">
        <v>0</v>
      </c>
      <c r="D209" s="1044">
        <v>0</v>
      </c>
      <c r="E209" s="1045"/>
      <c r="F209" s="1046"/>
      <c r="G209" s="1044"/>
      <c r="H209" s="1045"/>
      <c r="I209" s="1047"/>
      <c r="J209" s="1046"/>
      <c r="K209" s="1044"/>
      <c r="L209" s="1045"/>
      <c r="M209" s="1549"/>
    </row>
    <row r="210" spans="1:13" ht="13.5" x14ac:dyDescent="0.25">
      <c r="A210" s="1164" t="s">
        <v>2771</v>
      </c>
      <c r="B210" s="293"/>
      <c r="C210" s="1044"/>
      <c r="D210" s="1044">
        <v>70000</v>
      </c>
      <c r="E210" s="1045"/>
      <c r="F210" s="1046"/>
      <c r="G210" s="1044"/>
      <c r="H210" s="1045"/>
      <c r="I210" s="1047"/>
      <c r="J210" s="1046"/>
      <c r="K210" s="1044"/>
      <c r="L210" s="1045"/>
      <c r="M210" s="1549"/>
    </row>
    <row r="211" spans="1:13" ht="11.25" customHeight="1" x14ac:dyDescent="0.25">
      <c r="A211" s="1164" t="s">
        <v>2772</v>
      </c>
      <c r="B211" s="293"/>
      <c r="C211" s="1044"/>
      <c r="D211" s="1044">
        <v>11000</v>
      </c>
      <c r="E211" s="1045"/>
      <c r="F211" s="1046"/>
      <c r="G211" s="1044"/>
      <c r="H211" s="1045"/>
      <c r="I211" s="1047"/>
      <c r="J211" s="1046"/>
      <c r="K211" s="1044"/>
      <c r="L211" s="1045"/>
      <c r="M211" s="1549"/>
    </row>
    <row r="212" spans="1:13" s="335" customFormat="1" ht="11.25" customHeight="1" x14ac:dyDescent="0.25">
      <c r="A212" s="1164" t="s">
        <v>2773</v>
      </c>
      <c r="B212" s="293"/>
      <c r="C212" s="1044"/>
      <c r="D212" s="1044">
        <v>153000</v>
      </c>
      <c r="E212" s="1045"/>
      <c r="F212" s="1046"/>
      <c r="G212" s="1044"/>
      <c r="H212" s="1045"/>
      <c r="I212" s="1047"/>
      <c r="J212" s="1046"/>
      <c r="K212" s="1044"/>
      <c r="L212" s="1045"/>
      <c r="M212" s="1549"/>
    </row>
    <row r="213" spans="1:13" s="335" customFormat="1" ht="11.25" customHeight="1" x14ac:dyDescent="0.25">
      <c r="A213" s="1164">
        <f t="shared" si="96"/>
        <v>0</v>
      </c>
      <c r="B213" s="293"/>
      <c r="C213" s="1044"/>
      <c r="D213" s="1044"/>
      <c r="E213" s="1045"/>
      <c r="F213" s="1046"/>
      <c r="G213" s="1044"/>
      <c r="H213" s="1045"/>
      <c r="I213" s="1047"/>
      <c r="J213" s="1046"/>
      <c r="K213" s="1044"/>
      <c r="L213" s="1045"/>
      <c r="M213" s="1549"/>
    </row>
    <row r="214" spans="1:13" ht="11.25" customHeight="1" x14ac:dyDescent="0.25">
      <c r="A214" s="1164">
        <f t="shared" si="96"/>
        <v>0</v>
      </c>
      <c r="B214" s="293"/>
      <c r="C214" s="1044"/>
      <c r="D214" s="1044"/>
      <c r="E214" s="1045"/>
      <c r="F214" s="1046"/>
      <c r="G214" s="1044"/>
      <c r="H214" s="1045"/>
      <c r="I214" s="1047"/>
      <c r="J214" s="1046"/>
      <c r="K214" s="1044"/>
      <c r="L214" s="1045"/>
      <c r="M214" s="1549"/>
    </row>
    <row r="215" spans="1:13" ht="11.25" customHeight="1" x14ac:dyDescent="0.25">
      <c r="A215" s="1164">
        <f t="shared" si="96"/>
        <v>0</v>
      </c>
      <c r="B215" s="293"/>
      <c r="C215" s="1044"/>
      <c r="D215" s="1044"/>
      <c r="E215" s="1045"/>
      <c r="F215" s="1046"/>
      <c r="G215" s="1044"/>
      <c r="H215" s="1045"/>
      <c r="I215" s="1047"/>
      <c r="J215" s="1046"/>
      <c r="K215" s="1044"/>
      <c r="L215" s="1045"/>
      <c r="M215" s="1549"/>
    </row>
    <row r="216" spans="1:13" ht="11.25" customHeight="1" x14ac:dyDescent="0.25">
      <c r="A216" s="1164">
        <f t="shared" si="96"/>
        <v>0</v>
      </c>
      <c r="B216" s="293"/>
      <c r="C216" s="1044"/>
      <c r="D216" s="1044"/>
      <c r="E216" s="1045"/>
      <c r="F216" s="1046"/>
      <c r="G216" s="1044"/>
      <c r="H216" s="1045"/>
      <c r="I216" s="1047"/>
      <c r="J216" s="1046"/>
      <c r="K216" s="1044"/>
      <c r="L216" s="1045"/>
      <c r="M216" s="1549"/>
    </row>
    <row r="217" spans="1:13" ht="11.25" customHeight="1" x14ac:dyDescent="0.25">
      <c r="A217" s="1164">
        <f t="shared" si="96"/>
        <v>0</v>
      </c>
      <c r="B217" s="293"/>
      <c r="C217" s="1044"/>
      <c r="D217" s="1044"/>
      <c r="E217" s="1045"/>
      <c r="F217" s="1046"/>
      <c r="G217" s="1044"/>
      <c r="H217" s="1045"/>
      <c r="I217" s="1047"/>
      <c r="J217" s="1046"/>
      <c r="K217" s="1044"/>
      <c r="L217" s="1045"/>
      <c r="M217" s="1549"/>
    </row>
    <row r="218" spans="1:13" ht="11.25" customHeight="1" x14ac:dyDescent="0.25">
      <c r="A218" s="1164">
        <f t="shared" si="96"/>
        <v>0</v>
      </c>
      <c r="B218" s="293"/>
      <c r="C218" s="1044"/>
      <c r="D218" s="1044"/>
      <c r="E218" s="1045"/>
      <c r="F218" s="1046"/>
      <c r="G218" s="1044"/>
      <c r="H218" s="1045"/>
      <c r="I218" s="1047"/>
      <c r="J218" s="1046"/>
      <c r="K218" s="1044"/>
      <c r="L218" s="1045"/>
      <c r="M218" s="1549"/>
    </row>
    <row r="219" spans="1:13" ht="15" customHeight="1" x14ac:dyDescent="0.25">
      <c r="A219" s="1164" t="str">
        <f t="shared" si="96"/>
        <v>Vote 5 - 105 TECHNICAL SERVICES</v>
      </c>
      <c r="B219" s="976"/>
      <c r="C219" s="971">
        <f t="shared" ref="C219:L219" si="100">SUM(C220:C326)</f>
        <v>0</v>
      </c>
      <c r="D219" s="971">
        <f t="shared" si="100"/>
        <v>16257493.130000001</v>
      </c>
      <c r="E219" s="972">
        <f t="shared" si="100"/>
        <v>112938793.00000001</v>
      </c>
      <c r="F219" s="973">
        <f t="shared" si="100"/>
        <v>110819751.63</v>
      </c>
      <c r="G219" s="971">
        <f t="shared" si="100"/>
        <v>111250502.91000003</v>
      </c>
      <c r="H219" s="972">
        <f t="shared" si="100"/>
        <v>111250502.91000003</v>
      </c>
      <c r="I219" s="974">
        <f t="shared" si="100"/>
        <v>17831558.759999998</v>
      </c>
      <c r="J219" s="973">
        <f t="shared" si="100"/>
        <v>115149135</v>
      </c>
      <c r="K219" s="971">
        <f t="shared" si="100"/>
        <v>121942933.96500003</v>
      </c>
      <c r="L219" s="972">
        <f t="shared" si="100"/>
        <v>128771738.26704007</v>
      </c>
      <c r="M219" s="1549"/>
    </row>
    <row r="220" spans="1:13" s="369" customFormat="1" ht="11.25" customHeight="1" x14ac:dyDescent="0.25">
      <c r="A220" s="1165" t="s">
        <v>2704</v>
      </c>
      <c r="B220" s="294"/>
      <c r="C220" s="1621"/>
      <c r="D220" s="1621">
        <v>456585.1</v>
      </c>
      <c r="E220" s="1622"/>
      <c r="F220" s="1623"/>
      <c r="G220" s="1621"/>
      <c r="H220" s="1622"/>
      <c r="I220" s="1624"/>
      <c r="J220" s="1623"/>
      <c r="K220" s="1621"/>
      <c r="L220" s="1622"/>
      <c r="M220" s="1549"/>
    </row>
    <row r="221" spans="1:13" s="369" customFormat="1" ht="11.25" customHeight="1" x14ac:dyDescent="0.25">
      <c r="A221" s="1165" t="s">
        <v>2705</v>
      </c>
      <c r="B221" s="294"/>
      <c r="C221" s="1621"/>
      <c r="D221" s="1621">
        <v>246038.97</v>
      </c>
      <c r="E221" s="1622"/>
      <c r="F221" s="1623"/>
      <c r="G221" s="1621"/>
      <c r="H221" s="1622"/>
      <c r="I221" s="1624"/>
      <c r="J221" s="1623"/>
      <c r="K221" s="1621"/>
      <c r="L221" s="1622"/>
      <c r="M221" s="1549"/>
    </row>
    <row r="222" spans="1:13" s="369" customFormat="1" ht="11.25" customHeight="1" x14ac:dyDescent="0.25">
      <c r="A222" s="1165" t="s">
        <v>2706</v>
      </c>
      <c r="B222" s="294"/>
      <c r="C222" s="1621"/>
      <c r="D222" s="1621">
        <v>384269.71</v>
      </c>
      <c r="E222" s="1622"/>
      <c r="F222" s="1623"/>
      <c r="G222" s="1621"/>
      <c r="H222" s="1622"/>
      <c r="I222" s="1624"/>
      <c r="J222" s="1623"/>
      <c r="K222" s="1621"/>
      <c r="L222" s="1622"/>
      <c r="M222" s="1549"/>
    </row>
    <row r="223" spans="1:13" s="369" customFormat="1" ht="11.25" customHeight="1" x14ac:dyDescent="0.25">
      <c r="A223" s="1165" t="s">
        <v>2707</v>
      </c>
      <c r="B223" s="294"/>
      <c r="C223" s="1621"/>
      <c r="D223" s="1621">
        <v>1247099</v>
      </c>
      <c r="E223" s="1622"/>
      <c r="F223" s="1623"/>
      <c r="G223" s="1621"/>
      <c r="H223" s="1622"/>
      <c r="I223" s="1624"/>
      <c r="J223" s="1623"/>
      <c r="K223" s="1621"/>
      <c r="L223" s="1622"/>
      <c r="M223" s="1549"/>
    </row>
    <row r="224" spans="1:13" s="369" customFormat="1" ht="11.25" customHeight="1" x14ac:dyDescent="0.25">
      <c r="A224" s="1165" t="s">
        <v>2708</v>
      </c>
      <c r="B224" s="294"/>
      <c r="C224" s="1621"/>
      <c r="D224" s="1621">
        <v>860424.47</v>
      </c>
      <c r="E224" s="1622"/>
      <c r="F224" s="1623"/>
      <c r="G224" s="1621"/>
      <c r="H224" s="1622"/>
      <c r="I224" s="1624"/>
      <c r="J224" s="1623"/>
      <c r="K224" s="1621"/>
      <c r="L224" s="1622"/>
      <c r="M224" s="1549"/>
    </row>
    <row r="225" spans="1:13" s="369" customFormat="1" ht="11.25" customHeight="1" x14ac:dyDescent="0.25">
      <c r="A225" s="1165" t="s">
        <v>2709</v>
      </c>
      <c r="B225" s="294"/>
      <c r="C225" s="1621"/>
      <c r="D225" s="1621">
        <v>638357.81000000006</v>
      </c>
      <c r="E225" s="1622"/>
      <c r="F225" s="1623"/>
      <c r="G225" s="1621"/>
      <c r="H225" s="1622"/>
      <c r="I225" s="1624"/>
      <c r="J225" s="1623"/>
      <c r="K225" s="1621"/>
      <c r="L225" s="1622"/>
      <c r="M225" s="1549"/>
    </row>
    <row r="226" spans="1:13" s="369" customFormat="1" ht="11.25" customHeight="1" x14ac:dyDescent="0.25">
      <c r="A226" s="1165" t="s">
        <v>2710</v>
      </c>
      <c r="B226" s="294"/>
      <c r="C226" s="1621"/>
      <c r="D226" s="1621">
        <v>1362922.1</v>
      </c>
      <c r="E226" s="1622"/>
      <c r="F226" s="1623"/>
      <c r="G226" s="1621"/>
      <c r="H226" s="1622"/>
      <c r="I226" s="1624"/>
      <c r="J226" s="1623"/>
      <c r="K226" s="1621"/>
      <c r="L226" s="1622"/>
      <c r="M226" s="1549"/>
    </row>
    <row r="227" spans="1:13" ht="15" customHeight="1" x14ac:dyDescent="0.25">
      <c r="A227" s="1165" t="s">
        <v>2882</v>
      </c>
      <c r="B227" s="976"/>
      <c r="C227" s="2690"/>
      <c r="D227" s="2690"/>
      <c r="E227" s="2695">
        <v>52899119.370000012</v>
      </c>
      <c r="F227" s="2692"/>
      <c r="G227" s="2690"/>
      <c r="H227" s="2691"/>
      <c r="I227" s="2693"/>
      <c r="J227" s="2692"/>
      <c r="K227" s="2690"/>
      <c r="L227" s="2691"/>
      <c r="M227" s="1549"/>
    </row>
    <row r="228" spans="1:13" s="369" customFormat="1" ht="11.25" customHeight="1" x14ac:dyDescent="0.25">
      <c r="A228" s="1165" t="s">
        <v>2702</v>
      </c>
      <c r="B228" s="294"/>
      <c r="C228" s="1621"/>
      <c r="D228" s="1621">
        <v>933024.59</v>
      </c>
      <c r="E228" s="1622">
        <v>4712000</v>
      </c>
      <c r="F228" s="1623"/>
      <c r="G228" s="1621"/>
      <c r="H228" s="1622"/>
      <c r="I228" s="1624"/>
      <c r="J228" s="1623"/>
      <c r="K228" s="1621"/>
      <c r="L228" s="1622"/>
      <c r="M228" s="1549"/>
    </row>
    <row r="229" spans="1:13" s="369" customFormat="1" ht="11.25" customHeight="1" x14ac:dyDescent="0.25">
      <c r="A229" s="1165" t="s">
        <v>2701</v>
      </c>
      <c r="B229" s="294"/>
      <c r="C229" s="1621"/>
      <c r="D229" s="1621">
        <v>71775</v>
      </c>
      <c r="E229" s="1622">
        <v>91200</v>
      </c>
      <c r="F229" s="1623"/>
      <c r="G229" s="1621"/>
      <c r="H229" s="1622"/>
      <c r="I229" s="1624"/>
      <c r="J229" s="1623"/>
      <c r="K229" s="1621"/>
      <c r="L229" s="1622"/>
      <c r="M229" s="1549"/>
    </row>
    <row r="230" spans="1:13" s="369" customFormat="1" ht="11.25" customHeight="1" x14ac:dyDescent="0.25">
      <c r="A230" s="1165" t="s">
        <v>2700</v>
      </c>
      <c r="B230" s="294"/>
      <c r="C230" s="1621"/>
      <c r="D230" s="1621">
        <v>6337946.3399999999</v>
      </c>
      <c r="E230" s="1622">
        <v>1132933.19</v>
      </c>
      <c r="F230" s="1623"/>
      <c r="G230" s="1621"/>
      <c r="H230" s="1622"/>
      <c r="I230" s="1624"/>
      <c r="J230" s="1623"/>
      <c r="K230" s="1621"/>
      <c r="L230" s="1622"/>
      <c r="M230" s="1549"/>
    </row>
    <row r="231" spans="1:13" s="369" customFormat="1" ht="11.25" customHeight="1" x14ac:dyDescent="0.25">
      <c r="A231" s="1165" t="s">
        <v>2714</v>
      </c>
      <c r="B231" s="294"/>
      <c r="C231" s="1621"/>
      <c r="D231" s="1621"/>
      <c r="E231" s="1622">
        <v>2468595.75</v>
      </c>
      <c r="F231" s="1623">
        <v>2000000</v>
      </c>
      <c r="G231" s="1621">
        <v>323531.10000000009</v>
      </c>
      <c r="H231" s="1622">
        <v>323531.10000000009</v>
      </c>
      <c r="I231" s="1624">
        <v>283799.21000000002</v>
      </c>
      <c r="J231" s="1623"/>
      <c r="K231" s="1621"/>
      <c r="L231" s="1622"/>
      <c r="M231" s="1549"/>
    </row>
    <row r="232" spans="1:13" s="369" customFormat="1" ht="11.25" customHeight="1" x14ac:dyDescent="0.25">
      <c r="A232" s="1165" t="s">
        <v>2716</v>
      </c>
      <c r="B232" s="294"/>
      <c r="C232" s="1621"/>
      <c r="D232" s="1621"/>
      <c r="E232" s="1622">
        <v>2007922.93</v>
      </c>
      <c r="F232" s="1623">
        <v>2000000</v>
      </c>
      <c r="G232" s="1621">
        <v>251068.44999999995</v>
      </c>
      <c r="H232" s="1622">
        <v>251068.44999999995</v>
      </c>
      <c r="I232" s="1624">
        <v>220235.48</v>
      </c>
      <c r="J232" s="1623"/>
      <c r="K232" s="1621"/>
      <c r="L232" s="1622"/>
      <c r="M232" s="1549"/>
    </row>
    <row r="233" spans="1:13" s="369" customFormat="1" ht="11.25" customHeight="1" x14ac:dyDescent="0.25">
      <c r="A233" s="1165" t="s">
        <v>2717</v>
      </c>
      <c r="B233" s="294"/>
      <c r="C233" s="1621"/>
      <c r="D233" s="1621"/>
      <c r="E233" s="1622">
        <v>2792427.71</v>
      </c>
      <c r="F233" s="1623">
        <v>3000000</v>
      </c>
      <c r="G233" s="1621">
        <v>382909.62000000011</v>
      </c>
      <c r="H233" s="1622">
        <v>382909.62000000011</v>
      </c>
      <c r="I233" s="1624">
        <v>335885.63</v>
      </c>
      <c r="J233" s="1623"/>
      <c r="K233" s="1621"/>
      <c r="L233" s="1622"/>
      <c r="M233" s="1549"/>
    </row>
    <row r="234" spans="1:13" s="369" customFormat="1" ht="11.25" customHeight="1" x14ac:dyDescent="0.25">
      <c r="A234" s="1165" t="s">
        <v>2718</v>
      </c>
      <c r="B234" s="294"/>
      <c r="C234" s="1621"/>
      <c r="D234" s="1621"/>
      <c r="E234" s="1622">
        <v>2278949.9500000002</v>
      </c>
      <c r="F234" s="1623">
        <v>2000000</v>
      </c>
      <c r="G234" s="1621">
        <v>287280</v>
      </c>
      <c r="H234" s="1622">
        <v>287280</v>
      </c>
      <c r="I234" s="1624">
        <v>252000</v>
      </c>
      <c r="J234" s="1623"/>
      <c r="K234" s="1621"/>
      <c r="L234" s="1622"/>
      <c r="M234" s="1549"/>
    </row>
    <row r="235" spans="1:13" s="369" customFormat="1" ht="11.25" customHeight="1" x14ac:dyDescent="0.25">
      <c r="A235" s="1165" t="s">
        <v>2719</v>
      </c>
      <c r="B235" s="294"/>
      <c r="C235" s="1621"/>
      <c r="D235" s="1621"/>
      <c r="E235" s="1622">
        <v>1682356.24</v>
      </c>
      <c r="F235" s="1623">
        <v>2000000</v>
      </c>
      <c r="G235" s="1621">
        <v>386627.79000000004</v>
      </c>
      <c r="H235" s="1622">
        <v>386627.79000000004</v>
      </c>
      <c r="I235" s="1624">
        <v>339147.19</v>
      </c>
      <c r="J235" s="1623"/>
      <c r="K235" s="1621"/>
      <c r="L235" s="1622"/>
      <c r="M235" s="1549"/>
    </row>
    <row r="236" spans="1:13" s="369" customFormat="1" ht="11.25" customHeight="1" x14ac:dyDescent="0.25">
      <c r="A236" s="1165" t="s">
        <v>2720</v>
      </c>
      <c r="B236" s="294"/>
      <c r="C236" s="1621"/>
      <c r="D236" s="1621"/>
      <c r="E236" s="1622">
        <v>2654837.8200000003</v>
      </c>
      <c r="F236" s="1623">
        <v>2000000</v>
      </c>
      <c r="G236" s="1621">
        <v>63382.429999999935</v>
      </c>
      <c r="H236" s="1622">
        <v>63382.429999999935</v>
      </c>
      <c r="I236" s="1624">
        <v>55598.62</v>
      </c>
      <c r="J236" s="1623"/>
      <c r="K236" s="1621"/>
      <c r="L236" s="1622"/>
      <c r="M236" s="1549"/>
    </row>
    <row r="237" spans="1:13" s="369" customFormat="1" ht="11.25" customHeight="1" x14ac:dyDescent="0.25">
      <c r="A237" s="1165" t="s">
        <v>2722</v>
      </c>
      <c r="B237" s="294"/>
      <c r="C237" s="1621"/>
      <c r="D237" s="1621"/>
      <c r="E237" s="1622">
        <v>2062147.8</v>
      </c>
      <c r="F237" s="1623">
        <v>2280750</v>
      </c>
      <c r="G237" s="1621">
        <v>594739.17999999993</v>
      </c>
      <c r="H237" s="1622">
        <v>594739.17999999993</v>
      </c>
      <c r="I237" s="1624">
        <v>214683.49</v>
      </c>
      <c r="J237" s="1623"/>
      <c r="K237" s="1621"/>
      <c r="L237" s="1622"/>
      <c r="M237" s="1549"/>
    </row>
    <row r="238" spans="1:13" s="369" customFormat="1" ht="11.25" customHeight="1" x14ac:dyDescent="0.25">
      <c r="A238" s="1165" t="s">
        <v>2723</v>
      </c>
      <c r="B238" s="294"/>
      <c r="C238" s="1621"/>
      <c r="D238" s="1621"/>
      <c r="E238" s="1622">
        <v>2094301.74</v>
      </c>
      <c r="F238" s="1623">
        <v>2000000</v>
      </c>
      <c r="G238" s="1621">
        <v>322148.93999999994</v>
      </c>
      <c r="H238" s="1622">
        <v>322148.93999999994</v>
      </c>
      <c r="I238" s="1624">
        <v>282586.78999999998</v>
      </c>
      <c r="J238" s="1623"/>
      <c r="K238" s="1621"/>
      <c r="L238" s="1622"/>
      <c r="M238" s="1549"/>
    </row>
    <row r="239" spans="1:13" s="369" customFormat="1" ht="11.25" customHeight="1" x14ac:dyDescent="0.25">
      <c r="A239" s="1165" t="s">
        <v>2726</v>
      </c>
      <c r="B239" s="294"/>
      <c r="C239" s="1621"/>
      <c r="D239" s="1621"/>
      <c r="E239" s="1622">
        <v>1710920.56</v>
      </c>
      <c r="F239" s="1623">
        <v>2000000</v>
      </c>
      <c r="G239" s="1621">
        <v>135837.06000000006</v>
      </c>
      <c r="H239" s="1622">
        <v>135837.06000000006</v>
      </c>
      <c r="I239" s="1624">
        <v>119155.32</v>
      </c>
      <c r="J239" s="1623"/>
      <c r="K239" s="1621">
        <f>J239*1.055</f>
        <v>0</v>
      </c>
      <c r="L239" s="1622">
        <f>K239*1.053</f>
        <v>0</v>
      </c>
      <c r="M239" s="1549"/>
    </row>
    <row r="240" spans="1:13" s="369" customFormat="1" ht="11.25" customHeight="1" x14ac:dyDescent="0.25">
      <c r="A240" s="1165" t="s">
        <v>2733</v>
      </c>
      <c r="B240" s="294"/>
      <c r="C240" s="1621"/>
      <c r="D240" s="1621"/>
      <c r="E240" s="1622"/>
      <c r="F240" s="1623">
        <v>2000000</v>
      </c>
      <c r="G240" s="1621">
        <v>325901.40999999992</v>
      </c>
      <c r="H240" s="1622">
        <v>325901.40999999992</v>
      </c>
      <c r="I240" s="1624">
        <v>285878.43</v>
      </c>
      <c r="J240" s="1623"/>
      <c r="K240" s="1621">
        <f>J240*1.3055</f>
        <v>0</v>
      </c>
      <c r="L240" s="1622">
        <f>K240*1.053</f>
        <v>0</v>
      </c>
      <c r="M240" s="1549"/>
    </row>
    <row r="241" spans="1:13" s="369" customFormat="1" ht="11.25" customHeight="1" x14ac:dyDescent="0.25">
      <c r="A241" s="1165" t="s">
        <v>2734</v>
      </c>
      <c r="B241" s="294"/>
      <c r="C241" s="1621"/>
      <c r="D241" s="1621"/>
      <c r="E241" s="1622"/>
      <c r="F241" s="1623">
        <v>2000000</v>
      </c>
      <c r="G241" s="1621">
        <v>322400</v>
      </c>
      <c r="H241" s="1622">
        <v>322400</v>
      </c>
      <c r="I241" s="1624">
        <v>282807.02</v>
      </c>
      <c r="J241" s="1623"/>
      <c r="K241" s="1621">
        <f>J241*1.3055</f>
        <v>0</v>
      </c>
      <c r="L241" s="1622">
        <f>K241*1.053</f>
        <v>0</v>
      </c>
      <c r="M241" s="1549"/>
    </row>
    <row r="242" spans="1:13" s="369" customFormat="1" ht="11.25" customHeight="1" x14ac:dyDescent="0.25">
      <c r="A242" s="1165" t="s">
        <v>2751</v>
      </c>
      <c r="B242" s="294"/>
      <c r="C242" s="1621"/>
      <c r="D242" s="1621"/>
      <c r="E242" s="1622">
        <v>1664035.55</v>
      </c>
      <c r="F242" s="1623"/>
      <c r="G242" s="1621">
        <v>83309.08</v>
      </c>
      <c r="H242" s="1622">
        <v>83309.08</v>
      </c>
      <c r="I242" s="1624">
        <v>73078.16</v>
      </c>
      <c r="J242" s="1623"/>
      <c r="K242" s="1621">
        <f>J242*1.3055</f>
        <v>0</v>
      </c>
      <c r="L242" s="1622">
        <f>K242*1.053</f>
        <v>0</v>
      </c>
      <c r="M242" s="1549"/>
    </row>
    <row r="243" spans="1:13" s="369" customFormat="1" ht="11.25" customHeight="1" x14ac:dyDescent="0.25">
      <c r="A243" s="1165" t="s">
        <v>2698</v>
      </c>
      <c r="B243" s="294"/>
      <c r="C243" s="1621"/>
      <c r="D243" s="1621">
        <v>259526.66</v>
      </c>
      <c r="E243" s="1622">
        <v>378667.99</v>
      </c>
      <c r="F243" s="1623"/>
      <c r="G243" s="1621"/>
      <c r="H243" s="1622"/>
      <c r="I243" s="1624"/>
      <c r="J243" s="1623"/>
      <c r="K243" s="1621"/>
      <c r="L243" s="1622"/>
      <c r="M243" s="1549"/>
    </row>
    <row r="244" spans="1:13" s="369" customFormat="1" ht="11.25" customHeight="1" x14ac:dyDescent="0.25">
      <c r="A244" s="1165" t="s">
        <v>2724</v>
      </c>
      <c r="B244" s="294"/>
      <c r="C244" s="1621"/>
      <c r="D244" s="1621"/>
      <c r="E244" s="1622"/>
      <c r="F244" s="1623">
        <v>5000000</v>
      </c>
      <c r="G244" s="1621">
        <v>328122.12000000011</v>
      </c>
      <c r="H244" s="1622">
        <v>328122.12000000011</v>
      </c>
      <c r="I244" s="1624">
        <v>347826.42</v>
      </c>
      <c r="J244" s="1623"/>
      <c r="K244" s="1621"/>
      <c r="L244" s="1622"/>
      <c r="M244" s="1549"/>
    </row>
    <row r="245" spans="1:13" s="369" customFormat="1" ht="11.25" customHeight="1" x14ac:dyDescent="0.25">
      <c r="A245" s="1165" t="s">
        <v>2725</v>
      </c>
      <c r="B245" s="294"/>
      <c r="C245" s="1621"/>
      <c r="D245" s="1621"/>
      <c r="E245" s="1622"/>
      <c r="F245" s="1623">
        <v>5000000</v>
      </c>
      <c r="G245" s="1621">
        <v>388122.12000000011</v>
      </c>
      <c r="H245" s="1622">
        <v>388122.12000000011</v>
      </c>
      <c r="I245" s="1624">
        <v>340458</v>
      </c>
      <c r="J245" s="1623"/>
      <c r="K245" s="1621">
        <f>J245*1.055</f>
        <v>0</v>
      </c>
      <c r="L245" s="1622">
        <f>K245*1.053</f>
        <v>0</v>
      </c>
      <c r="M245" s="1549"/>
    </row>
    <row r="246" spans="1:13" s="369" customFormat="1" ht="11.25" customHeight="1" x14ac:dyDescent="0.25">
      <c r="A246" s="1165" t="s">
        <v>2784</v>
      </c>
      <c r="B246" s="294"/>
      <c r="C246" s="1621"/>
      <c r="D246" s="1621"/>
      <c r="E246" s="1622"/>
      <c r="F246" s="1623">
        <v>5000000</v>
      </c>
      <c r="G246" s="1621">
        <v>6000000</v>
      </c>
      <c r="H246" s="1622">
        <v>6000000</v>
      </c>
      <c r="I246" s="1624">
        <v>1059696.3400000001</v>
      </c>
      <c r="J246" s="1623">
        <v>8336605</v>
      </c>
      <c r="K246" s="1621">
        <f>J246*1.059</f>
        <v>8828464.6950000003</v>
      </c>
      <c r="L246" s="1622">
        <f>K246*1.056</f>
        <v>9322858.7179200016</v>
      </c>
      <c r="M246" s="1549"/>
    </row>
    <row r="247" spans="1:13" s="369" customFormat="1" ht="11.25" customHeight="1" x14ac:dyDescent="0.25">
      <c r="A247" s="1165" t="s">
        <v>2765</v>
      </c>
      <c r="B247" s="294"/>
      <c r="C247" s="1621"/>
      <c r="D247" s="1621"/>
      <c r="E247" s="1622">
        <v>638521.94999999995</v>
      </c>
      <c r="F247" s="1623"/>
      <c r="G247" s="1621"/>
      <c r="H247" s="1622"/>
      <c r="I247" s="1624">
        <v>0</v>
      </c>
      <c r="J247" s="1623">
        <v>3008887</v>
      </c>
      <c r="K247" s="1621">
        <f t="shared" ref="K247:K310" si="101">J247*1.059</f>
        <v>3186411.3329999996</v>
      </c>
      <c r="L247" s="1622">
        <f t="shared" ref="L247:L310" si="102">K247*1.056</f>
        <v>3364850.3676479999</v>
      </c>
      <c r="M247" s="1549"/>
    </row>
    <row r="248" spans="1:13" s="369" customFormat="1" ht="11.25" customHeight="1" x14ac:dyDescent="0.25">
      <c r="A248" s="1165" t="s">
        <v>2699</v>
      </c>
      <c r="B248" s="294"/>
      <c r="C248" s="1621"/>
      <c r="D248" s="1621">
        <v>698365.5</v>
      </c>
      <c r="E248" s="1622"/>
      <c r="F248" s="1623"/>
      <c r="G248" s="1621"/>
      <c r="H248" s="1622"/>
      <c r="I248" s="1624"/>
      <c r="J248" s="1623"/>
      <c r="K248" s="1621">
        <f t="shared" si="101"/>
        <v>0</v>
      </c>
      <c r="L248" s="1622">
        <f t="shared" si="102"/>
        <v>0</v>
      </c>
      <c r="M248" s="1549"/>
    </row>
    <row r="249" spans="1:13" s="369" customFormat="1" ht="11.25" customHeight="1" x14ac:dyDescent="0.25">
      <c r="A249" s="1165" t="s">
        <v>2728</v>
      </c>
      <c r="B249" s="294"/>
      <c r="C249" s="1621"/>
      <c r="D249" s="1621"/>
      <c r="E249" s="1622">
        <v>802286</v>
      </c>
      <c r="F249" s="1623">
        <v>34003001.630000003</v>
      </c>
      <c r="G249" s="1621">
        <v>33717422.609999999</v>
      </c>
      <c r="H249" s="1622">
        <v>33717422.609999999</v>
      </c>
      <c r="I249" s="1624">
        <v>0</v>
      </c>
      <c r="J249" s="1623">
        <v>40289680</v>
      </c>
      <c r="K249" s="1621">
        <f t="shared" si="101"/>
        <v>42666771.119999997</v>
      </c>
      <c r="L249" s="1622">
        <f t="shared" si="102"/>
        <v>45056110.302720003</v>
      </c>
      <c r="M249" s="1549"/>
    </row>
    <row r="250" spans="1:13" s="369" customFormat="1" ht="11.25" customHeight="1" x14ac:dyDescent="0.25">
      <c r="A250" s="1165" t="s">
        <v>2800</v>
      </c>
      <c r="B250" s="294"/>
      <c r="C250" s="1621"/>
      <c r="D250" s="1621"/>
      <c r="E250" s="1622"/>
      <c r="F250" s="1623"/>
      <c r="G250" s="1621"/>
      <c r="H250" s="1622"/>
      <c r="I250" s="1624"/>
      <c r="J250" s="1623">
        <v>973060</v>
      </c>
      <c r="K250" s="1621">
        <f t="shared" si="101"/>
        <v>1030470.5399999999</v>
      </c>
      <c r="L250" s="1622">
        <f t="shared" si="102"/>
        <v>1088176.8902399999</v>
      </c>
      <c r="M250" s="1549"/>
    </row>
    <row r="251" spans="1:13" s="369" customFormat="1" ht="11.25" customHeight="1" x14ac:dyDescent="0.25">
      <c r="A251" s="1165" t="s">
        <v>2732</v>
      </c>
      <c r="B251" s="294"/>
      <c r="C251" s="1621"/>
      <c r="D251" s="1621"/>
      <c r="E251" s="1622"/>
      <c r="F251" s="1623">
        <v>2000000</v>
      </c>
      <c r="G251" s="1621">
        <v>2000000</v>
      </c>
      <c r="H251" s="1622">
        <v>2000000</v>
      </c>
      <c r="I251" s="1624">
        <v>1678514.51</v>
      </c>
      <c r="J251" s="1623"/>
      <c r="K251" s="1621">
        <f t="shared" si="101"/>
        <v>0</v>
      </c>
      <c r="L251" s="1622">
        <f t="shared" si="102"/>
        <v>0</v>
      </c>
      <c r="M251" s="1549"/>
    </row>
    <row r="252" spans="1:13" s="369" customFormat="1" ht="11.25" customHeight="1" x14ac:dyDescent="0.25">
      <c r="A252" s="1165" t="s">
        <v>2729</v>
      </c>
      <c r="B252" s="294"/>
      <c r="C252" s="1621"/>
      <c r="D252" s="1621"/>
      <c r="E252" s="1622">
        <v>542617</v>
      </c>
      <c r="F252" s="1623">
        <v>9216000</v>
      </c>
      <c r="G252" s="1621">
        <v>9216000</v>
      </c>
      <c r="H252" s="1622">
        <v>9216000</v>
      </c>
      <c r="I252" s="1624">
        <v>0</v>
      </c>
      <c r="J252" s="1623">
        <v>6000000</v>
      </c>
      <c r="K252" s="1621">
        <f t="shared" si="101"/>
        <v>6354000</v>
      </c>
      <c r="L252" s="1622">
        <f t="shared" si="102"/>
        <v>6709824</v>
      </c>
      <c r="M252" s="1549"/>
    </row>
    <row r="253" spans="1:13" s="369" customFormat="1" ht="11.25" customHeight="1" x14ac:dyDescent="0.25">
      <c r="A253" s="1165" t="s">
        <v>2740</v>
      </c>
      <c r="B253" s="294"/>
      <c r="C253" s="1621"/>
      <c r="D253" s="1621"/>
      <c r="E253" s="1622"/>
      <c r="F253" s="1623">
        <v>1500000</v>
      </c>
      <c r="G253" s="1621">
        <v>0</v>
      </c>
      <c r="H253" s="1622">
        <v>0</v>
      </c>
      <c r="I253" s="1624"/>
      <c r="J253" s="1623"/>
      <c r="K253" s="1621">
        <f t="shared" si="101"/>
        <v>0</v>
      </c>
      <c r="L253" s="1622">
        <f t="shared" si="102"/>
        <v>0</v>
      </c>
      <c r="M253" s="1549"/>
    </row>
    <row r="254" spans="1:13" s="369" customFormat="1" ht="11.25" customHeight="1" x14ac:dyDescent="0.25">
      <c r="A254" s="1165" t="s">
        <v>2715</v>
      </c>
      <c r="B254" s="294"/>
      <c r="C254" s="1621"/>
      <c r="D254" s="1621"/>
      <c r="E254" s="1622"/>
      <c r="F254" s="1623">
        <v>2000000</v>
      </c>
      <c r="G254" s="1621">
        <v>1414347.83</v>
      </c>
      <c r="H254" s="1622">
        <v>1414347.83</v>
      </c>
      <c r="I254" s="1624">
        <v>1179940.8999999999</v>
      </c>
      <c r="J254" s="1623"/>
      <c r="K254" s="1621">
        <f t="shared" si="101"/>
        <v>0</v>
      </c>
      <c r="L254" s="1622">
        <f t="shared" si="102"/>
        <v>0</v>
      </c>
      <c r="M254" s="1549"/>
    </row>
    <row r="255" spans="1:13" s="369" customFormat="1" ht="11.25" customHeight="1" x14ac:dyDescent="0.25">
      <c r="A255" s="1165" t="s">
        <v>2711</v>
      </c>
      <c r="B255" s="294"/>
      <c r="C255" s="1621"/>
      <c r="D255" s="1621">
        <v>111961.5</v>
      </c>
      <c r="E255" s="1622">
        <v>7321978.8100000005</v>
      </c>
      <c r="F255" s="1623"/>
      <c r="G255" s="1621"/>
      <c r="H255" s="1622"/>
      <c r="I255" s="1624"/>
      <c r="J255" s="1623"/>
      <c r="K255" s="1621">
        <f t="shared" si="101"/>
        <v>0</v>
      </c>
      <c r="L255" s="1622">
        <f t="shared" si="102"/>
        <v>0</v>
      </c>
      <c r="M255" s="1549"/>
    </row>
    <row r="256" spans="1:13" s="369" customFormat="1" ht="11.25" customHeight="1" x14ac:dyDescent="0.25">
      <c r="A256" s="1165" t="s">
        <v>2721</v>
      </c>
      <c r="B256" s="294"/>
      <c r="C256" s="1621"/>
      <c r="D256" s="1621"/>
      <c r="E256" s="1622">
        <v>5909123.0499999998</v>
      </c>
      <c r="F256" s="1623">
        <v>2000000</v>
      </c>
      <c r="G256" s="1621">
        <v>2000000</v>
      </c>
      <c r="H256" s="1622">
        <v>2000000</v>
      </c>
      <c r="I256" s="1624">
        <v>1375745.96</v>
      </c>
      <c r="J256" s="1623"/>
      <c r="K256" s="1621">
        <f t="shared" si="101"/>
        <v>0</v>
      </c>
      <c r="L256" s="1622">
        <f t="shared" si="102"/>
        <v>0</v>
      </c>
      <c r="M256" s="1549"/>
    </row>
    <row r="257" spans="1:13" s="369" customFormat="1" ht="11.25" customHeight="1" x14ac:dyDescent="0.25">
      <c r="A257" s="1165" t="s">
        <v>2731</v>
      </c>
      <c r="B257" s="294"/>
      <c r="C257" s="1621"/>
      <c r="D257" s="1621"/>
      <c r="E257" s="1622"/>
      <c r="F257" s="1623">
        <v>2000000</v>
      </c>
      <c r="G257" s="1621">
        <v>2000000</v>
      </c>
      <c r="H257" s="1622">
        <v>2000000</v>
      </c>
      <c r="I257" s="1624">
        <v>1711778</v>
      </c>
      <c r="J257" s="1623">
        <v>0</v>
      </c>
      <c r="K257" s="1621">
        <f t="shared" si="101"/>
        <v>0</v>
      </c>
      <c r="L257" s="1622">
        <f t="shared" si="102"/>
        <v>0</v>
      </c>
      <c r="M257" s="1549"/>
    </row>
    <row r="258" spans="1:13" s="369" customFormat="1" ht="11.25" customHeight="1" x14ac:dyDescent="0.25">
      <c r="A258" s="1165" t="s">
        <v>2737</v>
      </c>
      <c r="B258" s="294"/>
      <c r="C258" s="1621"/>
      <c r="D258" s="1621"/>
      <c r="E258" s="1622">
        <v>379065.18</v>
      </c>
      <c r="F258" s="1623">
        <v>1220000</v>
      </c>
      <c r="G258" s="1621">
        <v>1625368.49</v>
      </c>
      <c r="H258" s="1622">
        <v>1625368.49</v>
      </c>
      <c r="I258" s="1624">
        <v>1595452.51</v>
      </c>
      <c r="J258" s="1623"/>
      <c r="K258" s="1621">
        <f t="shared" si="101"/>
        <v>0</v>
      </c>
      <c r="L258" s="1622">
        <f t="shared" si="102"/>
        <v>0</v>
      </c>
      <c r="M258" s="1549"/>
    </row>
    <row r="259" spans="1:13" s="369" customFormat="1" ht="11.25" customHeight="1" x14ac:dyDescent="0.25">
      <c r="A259" s="1165" t="s">
        <v>2821</v>
      </c>
      <c r="B259" s="294"/>
      <c r="C259" s="1621"/>
      <c r="D259" s="1621"/>
      <c r="E259" s="1622"/>
      <c r="F259" s="1623">
        <v>1000000</v>
      </c>
      <c r="G259" s="1621">
        <v>844044.22</v>
      </c>
      <c r="H259" s="1622">
        <v>844044.22</v>
      </c>
      <c r="I259" s="1624">
        <v>723801.06</v>
      </c>
      <c r="J259" s="1623"/>
      <c r="K259" s="1621">
        <f t="shared" si="101"/>
        <v>0</v>
      </c>
      <c r="L259" s="1622">
        <f t="shared" si="102"/>
        <v>0</v>
      </c>
      <c r="M259" s="1549"/>
    </row>
    <row r="260" spans="1:13" s="369" customFormat="1" ht="11.25" customHeight="1" x14ac:dyDescent="0.25">
      <c r="A260" s="1165" t="s">
        <v>2743</v>
      </c>
      <c r="B260" s="294"/>
      <c r="C260" s="1621"/>
      <c r="D260" s="1621"/>
      <c r="E260" s="1622"/>
      <c r="F260" s="1623"/>
      <c r="G260" s="1621">
        <v>9094672.3399999999</v>
      </c>
      <c r="H260" s="1622">
        <v>9094672.3399999999</v>
      </c>
      <c r="I260" s="1624"/>
      <c r="J260" s="1623">
        <v>0</v>
      </c>
      <c r="K260" s="1621">
        <f t="shared" si="101"/>
        <v>0</v>
      </c>
      <c r="L260" s="1622">
        <f t="shared" si="102"/>
        <v>0</v>
      </c>
      <c r="M260" s="1549"/>
    </row>
    <row r="261" spans="1:13" s="369" customFormat="1" ht="11.25" customHeight="1" x14ac:dyDescent="0.25">
      <c r="A261" s="1165" t="s">
        <v>2744</v>
      </c>
      <c r="B261" s="294"/>
      <c r="C261" s="1621"/>
      <c r="D261" s="1621"/>
      <c r="E261" s="1622"/>
      <c r="F261" s="1623"/>
      <c r="G261" s="1621">
        <v>8979223.6799999997</v>
      </c>
      <c r="H261" s="1622">
        <v>8979223.6799999997</v>
      </c>
      <c r="I261" s="1624"/>
      <c r="J261" s="1623"/>
      <c r="K261" s="1621">
        <f t="shared" si="101"/>
        <v>0</v>
      </c>
      <c r="L261" s="1622">
        <f t="shared" si="102"/>
        <v>0</v>
      </c>
      <c r="M261" s="1549"/>
    </row>
    <row r="262" spans="1:13" s="369" customFormat="1" ht="11.25" customHeight="1" x14ac:dyDescent="0.25">
      <c r="A262" s="1165" t="s">
        <v>2745</v>
      </c>
      <c r="B262" s="294"/>
      <c r="C262" s="1621"/>
      <c r="D262" s="1621"/>
      <c r="E262" s="1622"/>
      <c r="F262" s="1623"/>
      <c r="G262" s="1621">
        <v>1000000</v>
      </c>
      <c r="H262" s="1622">
        <v>1000000</v>
      </c>
      <c r="I262" s="1624"/>
      <c r="J262" s="1623">
        <v>0</v>
      </c>
      <c r="K262" s="1621">
        <f t="shared" si="101"/>
        <v>0</v>
      </c>
      <c r="L262" s="1622">
        <f t="shared" si="102"/>
        <v>0</v>
      </c>
      <c r="M262" s="1549"/>
    </row>
    <row r="263" spans="1:13" s="369" customFormat="1" ht="11.25" customHeight="1" x14ac:dyDescent="0.25">
      <c r="A263" s="1165" t="s">
        <v>2746</v>
      </c>
      <c r="B263" s="294"/>
      <c r="C263" s="1621"/>
      <c r="D263" s="1621"/>
      <c r="E263" s="1622">
        <v>605762.36</v>
      </c>
      <c r="F263" s="1623"/>
      <c r="G263" s="1621">
        <v>3192299.23</v>
      </c>
      <c r="H263" s="1622">
        <v>3192299.23</v>
      </c>
      <c r="I263" s="1624"/>
      <c r="J263" s="1623">
        <v>0</v>
      </c>
      <c r="K263" s="1621">
        <f t="shared" si="101"/>
        <v>0</v>
      </c>
      <c r="L263" s="1622">
        <f t="shared" si="102"/>
        <v>0</v>
      </c>
      <c r="M263" s="1549"/>
    </row>
    <row r="264" spans="1:13" s="369" customFormat="1" ht="11.25" customHeight="1" x14ac:dyDescent="0.25">
      <c r="A264" s="1165" t="s">
        <v>2747</v>
      </c>
      <c r="B264" s="294"/>
      <c r="C264" s="1621"/>
      <c r="D264" s="1621"/>
      <c r="E264" s="1622"/>
      <c r="F264" s="1623"/>
      <c r="G264" s="1621">
        <v>417552.34</v>
      </c>
      <c r="H264" s="1622">
        <v>417552.34</v>
      </c>
      <c r="I264" s="1624"/>
      <c r="J264" s="1623"/>
      <c r="K264" s="1621">
        <f t="shared" si="101"/>
        <v>0</v>
      </c>
      <c r="L264" s="1622">
        <f t="shared" si="102"/>
        <v>0</v>
      </c>
      <c r="M264" s="1549"/>
    </row>
    <row r="265" spans="1:13" s="369" customFormat="1" ht="11.25" customHeight="1" x14ac:dyDescent="0.25">
      <c r="A265" s="1165" t="s">
        <v>2748</v>
      </c>
      <c r="B265" s="294"/>
      <c r="C265" s="1621"/>
      <c r="D265" s="1621"/>
      <c r="E265" s="1622">
        <v>3303941.5700000003</v>
      </c>
      <c r="F265" s="1623"/>
      <c r="G265" s="1621">
        <v>205163.17</v>
      </c>
      <c r="H265" s="1622">
        <v>205163.17</v>
      </c>
      <c r="I265" s="1624">
        <v>179967.7</v>
      </c>
      <c r="J265" s="1623"/>
      <c r="K265" s="1621">
        <f t="shared" si="101"/>
        <v>0</v>
      </c>
      <c r="L265" s="1622">
        <f t="shared" si="102"/>
        <v>0</v>
      </c>
      <c r="M265" s="1549"/>
    </row>
    <row r="266" spans="1:13" s="369" customFormat="1" ht="11.25" customHeight="1" x14ac:dyDescent="0.25">
      <c r="A266" s="1165" t="s">
        <v>2750</v>
      </c>
      <c r="B266" s="294"/>
      <c r="C266" s="1621"/>
      <c r="D266" s="1621"/>
      <c r="E266" s="1622">
        <v>3729940.9400000004</v>
      </c>
      <c r="F266" s="1623"/>
      <c r="G266" s="1621">
        <v>32736.79</v>
      </c>
      <c r="H266" s="1622">
        <v>32736.79</v>
      </c>
      <c r="I266" s="1624">
        <v>28716.48</v>
      </c>
      <c r="J266" s="1623"/>
      <c r="K266" s="1621">
        <f t="shared" si="101"/>
        <v>0</v>
      </c>
      <c r="L266" s="1622">
        <f t="shared" si="102"/>
        <v>0</v>
      </c>
      <c r="M266" s="1549"/>
    </row>
    <row r="267" spans="1:13" s="369" customFormat="1" ht="11.25" customHeight="1" x14ac:dyDescent="0.25">
      <c r="A267" s="1165" t="s">
        <v>2727</v>
      </c>
      <c r="B267" s="294"/>
      <c r="C267" s="1621"/>
      <c r="D267" s="1621">
        <v>83362.899999999994</v>
      </c>
      <c r="E267" s="1622">
        <v>786111.67</v>
      </c>
      <c r="F267" s="1623">
        <v>500000</v>
      </c>
      <c r="G267" s="1621">
        <v>631414.57999999996</v>
      </c>
      <c r="H267" s="1622">
        <v>631414.57999999996</v>
      </c>
      <c r="I267" s="1624">
        <v>118444.52</v>
      </c>
      <c r="J267" s="1623">
        <v>176918</v>
      </c>
      <c r="K267" s="1621">
        <f t="shared" si="101"/>
        <v>187356.16199999998</v>
      </c>
      <c r="L267" s="1622">
        <f t="shared" si="102"/>
        <v>197848.10707199998</v>
      </c>
      <c r="M267" s="1549"/>
    </row>
    <row r="268" spans="1:13" s="369" customFormat="1" ht="11.25" customHeight="1" x14ac:dyDescent="0.25">
      <c r="A268" s="1165" t="s">
        <v>2736</v>
      </c>
      <c r="B268" s="294"/>
      <c r="C268" s="1621"/>
      <c r="D268" s="1621"/>
      <c r="E268" s="1622"/>
      <c r="F268" s="1623">
        <v>1000000</v>
      </c>
      <c r="G268" s="1621">
        <v>1000000</v>
      </c>
      <c r="H268" s="1622">
        <v>1000000</v>
      </c>
      <c r="I268" s="1624">
        <v>179044.51</v>
      </c>
      <c r="J268" s="1623"/>
      <c r="K268" s="1621">
        <f t="shared" si="101"/>
        <v>0</v>
      </c>
      <c r="L268" s="1622">
        <f t="shared" si="102"/>
        <v>0</v>
      </c>
      <c r="M268" s="1549"/>
    </row>
    <row r="269" spans="1:13" s="369" customFormat="1" ht="11.25" customHeight="1" x14ac:dyDescent="0.25">
      <c r="A269" s="1165" t="s">
        <v>2741</v>
      </c>
      <c r="B269" s="294"/>
      <c r="C269" s="1621"/>
      <c r="D269" s="1621"/>
      <c r="E269" s="1622"/>
      <c r="F269" s="1623">
        <v>500000</v>
      </c>
      <c r="G269" s="1621">
        <v>500000</v>
      </c>
      <c r="H269" s="1622">
        <v>500000</v>
      </c>
      <c r="I269" s="1624">
        <v>118444.4</v>
      </c>
      <c r="J269" s="1623"/>
      <c r="K269" s="1621">
        <f t="shared" si="101"/>
        <v>0</v>
      </c>
      <c r="L269" s="1622">
        <f t="shared" si="102"/>
        <v>0</v>
      </c>
      <c r="M269" s="1549"/>
    </row>
    <row r="270" spans="1:13" s="369" customFormat="1" ht="11.25" customHeight="1" x14ac:dyDescent="0.25">
      <c r="A270" s="1165" t="s">
        <v>2752</v>
      </c>
      <c r="B270" s="294"/>
      <c r="C270" s="1621"/>
      <c r="D270" s="1621"/>
      <c r="E270" s="1622">
        <v>645407.69999999995</v>
      </c>
      <c r="F270" s="1623"/>
      <c r="G270" s="1621">
        <v>131414.57999999999</v>
      </c>
      <c r="H270" s="1622">
        <v>131414.57999999999</v>
      </c>
      <c r="I270" s="1624">
        <v>115275.96</v>
      </c>
      <c r="J270" s="1623">
        <v>232144</v>
      </c>
      <c r="K270" s="1621">
        <f t="shared" si="101"/>
        <v>245840.49599999998</v>
      </c>
      <c r="L270" s="1622">
        <f t="shared" si="102"/>
        <v>259607.563776</v>
      </c>
      <c r="M270" s="1549"/>
    </row>
    <row r="271" spans="1:13" s="369" customFormat="1" ht="11.25" customHeight="1" x14ac:dyDescent="0.25">
      <c r="A271" s="1165" t="s">
        <v>2753</v>
      </c>
      <c r="B271" s="294"/>
      <c r="C271" s="1621"/>
      <c r="D271" s="1621">
        <v>273525</v>
      </c>
      <c r="E271" s="1622">
        <v>779106.47</v>
      </c>
      <c r="F271" s="1623"/>
      <c r="G271" s="1621">
        <v>131414.57999999999</v>
      </c>
      <c r="H271" s="1622">
        <v>131414.57999999999</v>
      </c>
      <c r="I271" s="1624">
        <v>230551.9</v>
      </c>
      <c r="J271" s="1623"/>
      <c r="K271" s="1621">
        <f t="shared" si="101"/>
        <v>0</v>
      </c>
      <c r="L271" s="1622">
        <f t="shared" si="102"/>
        <v>0</v>
      </c>
      <c r="M271" s="1549"/>
    </row>
    <row r="272" spans="1:13" s="369" customFormat="1" ht="11.25" customHeight="1" x14ac:dyDescent="0.25">
      <c r="A272" s="1165" t="s">
        <v>2754</v>
      </c>
      <c r="B272" s="294"/>
      <c r="C272" s="1621"/>
      <c r="D272" s="1621"/>
      <c r="E272" s="1622">
        <v>1020374.94</v>
      </c>
      <c r="F272" s="1623"/>
      <c r="G272" s="1621">
        <v>131414.57999999999</v>
      </c>
      <c r="H272" s="1622">
        <v>131414.57999999999</v>
      </c>
      <c r="I272" s="1624">
        <v>115275.95</v>
      </c>
      <c r="J272" s="1623">
        <v>550000</v>
      </c>
      <c r="K272" s="1621">
        <f t="shared" si="101"/>
        <v>582450</v>
      </c>
      <c r="L272" s="1622">
        <f t="shared" si="102"/>
        <v>615067.20000000007</v>
      </c>
      <c r="M272" s="1549"/>
    </row>
    <row r="273" spans="1:13" s="369" customFormat="1" ht="11.25" customHeight="1" x14ac:dyDescent="0.25">
      <c r="A273" s="1165" t="s">
        <v>2755</v>
      </c>
      <c r="B273" s="294"/>
      <c r="C273" s="1621"/>
      <c r="D273" s="1621"/>
      <c r="E273" s="1622">
        <v>354430.84</v>
      </c>
      <c r="F273" s="1623"/>
      <c r="G273" s="1621">
        <v>166674</v>
      </c>
      <c r="H273" s="1622">
        <v>166674</v>
      </c>
      <c r="I273" s="1624">
        <v>512501.85</v>
      </c>
      <c r="J273" s="1623">
        <v>1034279</v>
      </c>
      <c r="K273" s="1621">
        <f t="shared" si="101"/>
        <v>1095301.4609999999</v>
      </c>
      <c r="L273" s="1622">
        <f t="shared" si="102"/>
        <v>1156638.3428159999</v>
      </c>
      <c r="M273" s="1549"/>
    </row>
    <row r="274" spans="1:13" s="369" customFormat="1" ht="11.25" customHeight="1" x14ac:dyDescent="0.25">
      <c r="A274" s="1165" t="s">
        <v>2756</v>
      </c>
      <c r="B274" s="294"/>
      <c r="C274" s="1621"/>
      <c r="D274" s="1621"/>
      <c r="E274" s="1622">
        <v>555345.47</v>
      </c>
      <c r="F274" s="1623"/>
      <c r="G274" s="1621">
        <v>358305.16</v>
      </c>
      <c r="H274" s="1622">
        <v>358305.16</v>
      </c>
      <c r="I274" s="1624">
        <v>210751.91</v>
      </c>
      <c r="J274" s="1623">
        <v>200000</v>
      </c>
      <c r="K274" s="1621">
        <f t="shared" si="101"/>
        <v>211800</v>
      </c>
      <c r="L274" s="1622">
        <f t="shared" si="102"/>
        <v>223660.80000000002</v>
      </c>
      <c r="M274" s="1549"/>
    </row>
    <row r="275" spans="1:13" s="369" customFormat="1" ht="11.25" customHeight="1" x14ac:dyDescent="0.25">
      <c r="A275" s="1165" t="s">
        <v>2757</v>
      </c>
      <c r="B275" s="294"/>
      <c r="C275" s="1621"/>
      <c r="D275" s="1621"/>
      <c r="E275" s="1622">
        <v>289865.7</v>
      </c>
      <c r="F275" s="1623"/>
      <c r="G275" s="1621">
        <v>663519</v>
      </c>
      <c r="H275" s="1622">
        <v>663519</v>
      </c>
      <c r="I275" s="1624"/>
      <c r="J275" s="1623">
        <v>300000</v>
      </c>
      <c r="K275" s="1621">
        <f t="shared" si="101"/>
        <v>317700</v>
      </c>
      <c r="L275" s="1622">
        <f t="shared" si="102"/>
        <v>335491.20000000001</v>
      </c>
      <c r="M275" s="1549"/>
    </row>
    <row r="276" spans="1:13" s="369" customFormat="1" ht="11.25" customHeight="1" x14ac:dyDescent="0.25">
      <c r="A276" s="1165" t="s">
        <v>2758</v>
      </c>
      <c r="B276" s="294"/>
      <c r="C276" s="1621"/>
      <c r="D276" s="1621"/>
      <c r="E276" s="1622">
        <v>103076.4</v>
      </c>
      <c r="F276" s="1623"/>
      <c r="G276" s="1621">
        <v>763595.4</v>
      </c>
      <c r="H276" s="1622">
        <v>763595.4</v>
      </c>
      <c r="I276" s="1624"/>
      <c r="J276" s="1623">
        <v>300000</v>
      </c>
      <c r="K276" s="1621">
        <f t="shared" si="101"/>
        <v>317700</v>
      </c>
      <c r="L276" s="1622">
        <f t="shared" si="102"/>
        <v>335491.20000000001</v>
      </c>
      <c r="M276" s="1549"/>
    </row>
    <row r="277" spans="1:13" s="369" customFormat="1" ht="11.25" customHeight="1" x14ac:dyDescent="0.25">
      <c r="A277" s="1165" t="s">
        <v>2759</v>
      </c>
      <c r="B277" s="294"/>
      <c r="C277" s="1621"/>
      <c r="D277" s="1621"/>
      <c r="E277" s="1622">
        <v>533151.22</v>
      </c>
      <c r="F277" s="1623"/>
      <c r="G277" s="1621">
        <v>131414.57999999999</v>
      </c>
      <c r="H277" s="1622">
        <v>131414.57999999999</v>
      </c>
      <c r="I277" s="1624"/>
      <c r="J277" s="1623">
        <v>306192</v>
      </c>
      <c r="K277" s="1621">
        <f t="shared" si="101"/>
        <v>324257.32799999998</v>
      </c>
      <c r="L277" s="1622">
        <f t="shared" si="102"/>
        <v>342415.73836800002</v>
      </c>
      <c r="M277" s="1549"/>
    </row>
    <row r="278" spans="1:13" s="369" customFormat="1" ht="11.25" customHeight="1" x14ac:dyDescent="0.25">
      <c r="A278" s="1165" t="s">
        <v>2760</v>
      </c>
      <c r="B278" s="294"/>
      <c r="C278" s="1621"/>
      <c r="D278" s="1621"/>
      <c r="E278" s="1622">
        <v>417241.96</v>
      </c>
      <c r="F278" s="1623"/>
      <c r="G278" s="1621">
        <v>931861.88</v>
      </c>
      <c r="H278" s="1622">
        <v>931861.88</v>
      </c>
      <c r="I278" s="1624"/>
      <c r="J278" s="1623"/>
      <c r="K278" s="1621">
        <f t="shared" si="101"/>
        <v>0</v>
      </c>
      <c r="L278" s="1622">
        <f t="shared" si="102"/>
        <v>0</v>
      </c>
      <c r="M278" s="1549"/>
    </row>
    <row r="279" spans="1:13" s="369" customFormat="1" ht="11.25" customHeight="1" x14ac:dyDescent="0.25">
      <c r="A279" s="1165" t="s">
        <v>2761</v>
      </c>
      <c r="B279" s="294"/>
      <c r="C279" s="1621"/>
      <c r="D279" s="1621"/>
      <c r="E279" s="1622">
        <v>224978.68</v>
      </c>
      <c r="F279" s="1623"/>
      <c r="G279" s="1621">
        <v>330053.31</v>
      </c>
      <c r="H279" s="1622">
        <v>330053.31</v>
      </c>
      <c r="I279" s="1624">
        <v>183680.45</v>
      </c>
      <c r="J279" s="1623">
        <v>352000</v>
      </c>
      <c r="K279" s="1621">
        <f t="shared" si="101"/>
        <v>372768</v>
      </c>
      <c r="L279" s="1622">
        <f t="shared" si="102"/>
        <v>393643.00800000003</v>
      </c>
      <c r="M279" s="1549"/>
    </row>
    <row r="280" spans="1:13" s="369" customFormat="1" ht="11.25" customHeight="1" x14ac:dyDescent="0.25">
      <c r="A280" s="1165" t="s">
        <v>2762</v>
      </c>
      <c r="B280" s="294"/>
      <c r="C280" s="1621"/>
      <c r="D280" s="1621"/>
      <c r="E280" s="1622">
        <v>199001.3</v>
      </c>
      <c r="F280" s="1623"/>
      <c r="G280" s="1621">
        <v>118369.34</v>
      </c>
      <c r="H280" s="1622">
        <v>118369.34</v>
      </c>
      <c r="I280" s="1624"/>
      <c r="J280" s="1623"/>
      <c r="K280" s="1621">
        <f t="shared" si="101"/>
        <v>0</v>
      </c>
      <c r="L280" s="1622">
        <f t="shared" si="102"/>
        <v>0</v>
      </c>
      <c r="M280" s="1549"/>
    </row>
    <row r="281" spans="1:13" s="369" customFormat="1" ht="11.25" customHeight="1" x14ac:dyDescent="0.25">
      <c r="A281" s="1165" t="s">
        <v>2763</v>
      </c>
      <c r="B281" s="294"/>
      <c r="C281" s="1621"/>
      <c r="D281" s="1621"/>
      <c r="E281" s="1622">
        <v>367435.14</v>
      </c>
      <c r="F281" s="1623"/>
      <c r="G281" s="1621">
        <v>292264</v>
      </c>
      <c r="H281" s="1622">
        <v>292264</v>
      </c>
      <c r="I281" s="1624"/>
      <c r="J281" s="1623">
        <v>253206</v>
      </c>
      <c r="K281" s="1621">
        <f t="shared" si="101"/>
        <v>268145.15399999998</v>
      </c>
      <c r="L281" s="1622">
        <f t="shared" si="102"/>
        <v>283161.28262399998</v>
      </c>
      <c r="M281" s="1549"/>
    </row>
    <row r="282" spans="1:13" s="369" customFormat="1" ht="11.25" customHeight="1" x14ac:dyDescent="0.25">
      <c r="A282" s="1165" t="s">
        <v>2796</v>
      </c>
      <c r="B282" s="294"/>
      <c r="C282" s="1621"/>
      <c r="D282" s="1621"/>
      <c r="E282" s="1622"/>
      <c r="F282" s="1623"/>
      <c r="G282" s="1621"/>
      <c r="H282" s="1622"/>
      <c r="I282" s="1624"/>
      <c r="J282" s="1623">
        <v>244000</v>
      </c>
      <c r="K282" s="1621">
        <f t="shared" si="101"/>
        <v>258396</v>
      </c>
      <c r="L282" s="1622">
        <f t="shared" si="102"/>
        <v>272866.17600000004</v>
      </c>
      <c r="M282" s="1549"/>
    </row>
    <row r="283" spans="1:13" s="369" customFormat="1" ht="11.25" customHeight="1" x14ac:dyDescent="0.25">
      <c r="A283" s="1165" t="s">
        <v>2881</v>
      </c>
      <c r="B283" s="294"/>
      <c r="C283" s="1621"/>
      <c r="D283" s="1621"/>
      <c r="E283" s="1622"/>
      <c r="F283" s="1623"/>
      <c r="G283" s="1621"/>
      <c r="H283" s="1622"/>
      <c r="I283" s="1624"/>
      <c r="J283" s="1623">
        <v>1743603</v>
      </c>
      <c r="K283" s="1621">
        <f t="shared" si="101"/>
        <v>1846475.5769999998</v>
      </c>
      <c r="L283" s="1622">
        <f t="shared" si="102"/>
        <v>1949878.2093119998</v>
      </c>
      <c r="M283" s="1549"/>
    </row>
    <row r="284" spans="1:13" s="369" customFormat="1" ht="11.25" customHeight="1" x14ac:dyDescent="0.25">
      <c r="A284" s="1165" t="s">
        <v>2712</v>
      </c>
      <c r="B284" s="294"/>
      <c r="C284" s="1621"/>
      <c r="D284" s="1621">
        <v>961002.06</v>
      </c>
      <c r="E284" s="1622"/>
      <c r="F284" s="1623"/>
      <c r="G284" s="1621"/>
      <c r="H284" s="1622"/>
      <c r="I284" s="1624"/>
      <c r="J284" s="1623"/>
      <c r="K284" s="1621">
        <f t="shared" si="101"/>
        <v>0</v>
      </c>
      <c r="L284" s="1622">
        <f t="shared" si="102"/>
        <v>0</v>
      </c>
      <c r="M284" s="1549"/>
    </row>
    <row r="285" spans="1:13" s="369" customFormat="1" ht="11.25" customHeight="1" x14ac:dyDescent="0.25">
      <c r="A285" s="1165" t="s">
        <v>2703</v>
      </c>
      <c r="B285" s="294"/>
      <c r="C285" s="1621"/>
      <c r="D285" s="1621">
        <v>1331306.42</v>
      </c>
      <c r="E285" s="1622"/>
      <c r="F285" s="1623"/>
      <c r="G285" s="1621"/>
      <c r="H285" s="1622"/>
      <c r="I285" s="1624"/>
      <c r="J285" s="1623"/>
      <c r="K285" s="1621">
        <f t="shared" si="101"/>
        <v>0</v>
      </c>
      <c r="L285" s="1622">
        <f t="shared" si="102"/>
        <v>0</v>
      </c>
      <c r="M285" s="1549"/>
    </row>
    <row r="286" spans="1:13" s="369" customFormat="1" ht="11.25" customHeight="1" x14ac:dyDescent="0.25">
      <c r="A286" s="1165" t="s">
        <v>2735</v>
      </c>
      <c r="B286" s="294"/>
      <c r="C286" s="1621"/>
      <c r="D286" s="1621"/>
      <c r="E286" s="1622"/>
      <c r="F286" s="1623">
        <v>1000000</v>
      </c>
      <c r="G286" s="1621">
        <v>0</v>
      </c>
      <c r="H286" s="1622">
        <v>0</v>
      </c>
      <c r="I286" s="1624"/>
      <c r="J286" s="1623"/>
      <c r="K286" s="1621">
        <f t="shared" si="101"/>
        <v>0</v>
      </c>
      <c r="L286" s="1622">
        <f t="shared" si="102"/>
        <v>0</v>
      </c>
      <c r="M286" s="1549"/>
    </row>
    <row r="287" spans="1:13" s="369" customFormat="1" ht="11.25" customHeight="1" x14ac:dyDescent="0.25">
      <c r="A287" s="1165" t="s">
        <v>2764</v>
      </c>
      <c r="B287" s="294"/>
      <c r="C287" s="1621"/>
      <c r="D287" s="1621"/>
      <c r="E287" s="1622">
        <v>233393.57</v>
      </c>
      <c r="F287" s="1623"/>
      <c r="G287" s="1621">
        <v>282577.39</v>
      </c>
      <c r="H287" s="1622">
        <v>282577.39</v>
      </c>
      <c r="I287" s="1624"/>
      <c r="J287" s="1623">
        <v>417220</v>
      </c>
      <c r="K287" s="1621">
        <f t="shared" si="101"/>
        <v>441835.98</v>
      </c>
      <c r="L287" s="1622">
        <f t="shared" si="102"/>
        <v>466578.79488</v>
      </c>
      <c r="M287" s="1549"/>
    </row>
    <row r="288" spans="1:13" s="369" customFormat="1" ht="11.25" customHeight="1" x14ac:dyDescent="0.25">
      <c r="A288" s="1165" t="s">
        <v>2785</v>
      </c>
      <c r="B288" s="294"/>
      <c r="C288" s="1621"/>
      <c r="D288" s="1621"/>
      <c r="E288" s="1622"/>
      <c r="F288" s="1623"/>
      <c r="G288" s="1621"/>
      <c r="H288" s="1622"/>
      <c r="I288" s="1624"/>
      <c r="J288" s="1623">
        <v>100000</v>
      </c>
      <c r="K288" s="1621">
        <f t="shared" si="101"/>
        <v>105900</v>
      </c>
      <c r="L288" s="1622">
        <f t="shared" si="102"/>
        <v>111830.40000000001</v>
      </c>
      <c r="M288" s="1549"/>
    </row>
    <row r="289" spans="1:13" s="369" customFormat="1" ht="11.25" customHeight="1" x14ac:dyDescent="0.25">
      <c r="A289" s="1165" t="s">
        <v>2786</v>
      </c>
      <c r="B289" s="294"/>
      <c r="C289" s="1621"/>
      <c r="D289" s="1621"/>
      <c r="E289" s="1622"/>
      <c r="F289" s="1623"/>
      <c r="G289" s="1621"/>
      <c r="H289" s="1622"/>
      <c r="I289" s="1624"/>
      <c r="J289" s="1623">
        <v>100000</v>
      </c>
      <c r="K289" s="1621">
        <f t="shared" si="101"/>
        <v>105900</v>
      </c>
      <c r="L289" s="1622">
        <f t="shared" si="102"/>
        <v>111830.40000000001</v>
      </c>
      <c r="M289" s="1549"/>
    </row>
    <row r="290" spans="1:13" s="369" customFormat="1" ht="11.25" customHeight="1" x14ac:dyDescent="0.25">
      <c r="A290" s="1165" t="s">
        <v>2872</v>
      </c>
      <c r="B290" s="294"/>
      <c r="C290" s="1621"/>
      <c r="D290" s="1621"/>
      <c r="E290" s="1622"/>
      <c r="F290" s="1623"/>
      <c r="G290" s="1621"/>
      <c r="H290" s="1622"/>
      <c r="I290" s="1624"/>
      <c r="J290" s="1623">
        <v>200000</v>
      </c>
      <c r="K290" s="1621">
        <f t="shared" si="101"/>
        <v>211800</v>
      </c>
      <c r="L290" s="1622">
        <f t="shared" si="102"/>
        <v>223660.80000000002</v>
      </c>
      <c r="M290" s="1549"/>
    </row>
    <row r="291" spans="1:13" s="369" customFormat="1" ht="11.25" customHeight="1" x14ac:dyDescent="0.25">
      <c r="A291" s="1165" t="s">
        <v>2873</v>
      </c>
      <c r="B291" s="294"/>
      <c r="C291" s="1621"/>
      <c r="D291" s="1621"/>
      <c r="E291" s="1622"/>
      <c r="F291" s="1623"/>
      <c r="G291" s="1621"/>
      <c r="H291" s="1622"/>
      <c r="I291" s="1624"/>
      <c r="J291" s="1623">
        <v>100000</v>
      </c>
      <c r="K291" s="1621">
        <f t="shared" si="101"/>
        <v>105900</v>
      </c>
      <c r="L291" s="1622">
        <f t="shared" si="102"/>
        <v>111830.40000000001</v>
      </c>
      <c r="M291" s="1549"/>
    </row>
    <row r="292" spans="1:13" s="369" customFormat="1" ht="11.25" customHeight="1" x14ac:dyDescent="0.25">
      <c r="A292" s="1165" t="s">
        <v>2874</v>
      </c>
      <c r="B292" s="294"/>
      <c r="C292" s="1621"/>
      <c r="D292" s="1621"/>
      <c r="E292" s="1622"/>
      <c r="F292" s="1623"/>
      <c r="G292" s="1621"/>
      <c r="H292" s="1622"/>
      <c r="I292" s="1624"/>
      <c r="J292" s="1623">
        <v>144074</v>
      </c>
      <c r="K292" s="1621">
        <f t="shared" si="101"/>
        <v>152574.36599999998</v>
      </c>
      <c r="L292" s="1622">
        <f t="shared" si="102"/>
        <v>161118.53049599999</v>
      </c>
      <c r="M292" s="1549"/>
    </row>
    <row r="293" spans="1:13" s="369" customFormat="1" ht="11.25" customHeight="1" x14ac:dyDescent="0.25">
      <c r="A293" s="1165" t="s">
        <v>2875</v>
      </c>
      <c r="B293" s="294"/>
      <c r="C293" s="1621"/>
      <c r="D293" s="1621"/>
      <c r="E293" s="1622"/>
      <c r="F293" s="1623"/>
      <c r="G293" s="1621"/>
      <c r="H293" s="1622"/>
      <c r="I293" s="1624"/>
      <c r="J293" s="1623">
        <v>100000</v>
      </c>
      <c r="K293" s="1621">
        <f t="shared" si="101"/>
        <v>105900</v>
      </c>
      <c r="L293" s="1622">
        <f t="shared" si="102"/>
        <v>111830.40000000001</v>
      </c>
      <c r="M293" s="1549"/>
    </row>
    <row r="294" spans="1:13" s="369" customFormat="1" ht="11.25" customHeight="1" x14ac:dyDescent="0.25">
      <c r="A294" s="1165" t="s">
        <v>2876</v>
      </c>
      <c r="B294" s="294"/>
      <c r="C294" s="1621"/>
      <c r="D294" s="1621"/>
      <c r="E294" s="1622"/>
      <c r="F294" s="1623"/>
      <c r="G294" s="1621"/>
      <c r="H294" s="1622"/>
      <c r="I294" s="1624"/>
      <c r="J294" s="1623">
        <v>351017</v>
      </c>
      <c r="K294" s="1621">
        <f t="shared" si="101"/>
        <v>371727.00299999997</v>
      </c>
      <c r="L294" s="1622">
        <f t="shared" si="102"/>
        <v>392543.71516799997</v>
      </c>
      <c r="M294" s="1549"/>
    </row>
    <row r="295" spans="1:13" s="369" customFormat="1" ht="11.25" customHeight="1" x14ac:dyDescent="0.25">
      <c r="A295" s="1165" t="s">
        <v>2877</v>
      </c>
      <c r="B295" s="294"/>
      <c r="C295" s="1621"/>
      <c r="D295" s="1621"/>
      <c r="E295" s="1622"/>
      <c r="F295" s="1623"/>
      <c r="G295" s="1621"/>
      <c r="H295" s="1622"/>
      <c r="I295" s="1624"/>
      <c r="J295" s="1623">
        <v>351017</v>
      </c>
      <c r="K295" s="1621">
        <f t="shared" si="101"/>
        <v>371727.00299999997</v>
      </c>
      <c r="L295" s="1622">
        <f t="shared" si="102"/>
        <v>392543.71516799997</v>
      </c>
      <c r="M295" s="1549"/>
    </row>
    <row r="296" spans="1:13" s="369" customFormat="1" ht="11.25" customHeight="1" x14ac:dyDescent="0.25">
      <c r="A296" s="1165" t="s">
        <v>2878</v>
      </c>
      <c r="B296" s="294"/>
      <c r="C296" s="1621"/>
      <c r="D296" s="1621"/>
      <c r="E296" s="1622"/>
      <c r="F296" s="1623"/>
      <c r="G296" s="1621"/>
      <c r="H296" s="1622"/>
      <c r="I296" s="1624"/>
      <c r="J296" s="1623">
        <v>351017</v>
      </c>
      <c r="K296" s="1621">
        <f t="shared" si="101"/>
        <v>371727.00299999997</v>
      </c>
      <c r="L296" s="1622">
        <f t="shared" si="102"/>
        <v>392543.71516799997</v>
      </c>
      <c r="M296" s="1549"/>
    </row>
    <row r="297" spans="1:13" s="369" customFormat="1" ht="11.25" customHeight="1" x14ac:dyDescent="0.25">
      <c r="A297" s="1165" t="s">
        <v>2880</v>
      </c>
      <c r="B297" s="294"/>
      <c r="C297" s="1621"/>
      <c r="D297" s="1621"/>
      <c r="E297" s="1622"/>
      <c r="F297" s="1623"/>
      <c r="G297" s="1621"/>
      <c r="H297" s="1622"/>
      <c r="I297" s="1624"/>
      <c r="J297" s="1623">
        <v>351017</v>
      </c>
      <c r="K297" s="1621">
        <f t="shared" si="101"/>
        <v>371727.00299999997</v>
      </c>
      <c r="L297" s="1622">
        <f t="shared" si="102"/>
        <v>392543.71516799997</v>
      </c>
      <c r="M297" s="1549"/>
    </row>
    <row r="298" spans="1:13" s="369" customFormat="1" ht="11.25" customHeight="1" x14ac:dyDescent="0.25">
      <c r="A298" s="1165" t="s">
        <v>2879</v>
      </c>
      <c r="B298" s="294"/>
      <c r="C298" s="1621"/>
      <c r="D298" s="1621"/>
      <c r="E298" s="1622"/>
      <c r="F298" s="1623"/>
      <c r="G298" s="1621"/>
      <c r="H298" s="1622"/>
      <c r="I298" s="1624"/>
      <c r="J298" s="1623">
        <v>900000</v>
      </c>
      <c r="K298" s="1621">
        <f t="shared" si="101"/>
        <v>953100</v>
      </c>
      <c r="L298" s="1622">
        <f t="shared" si="102"/>
        <v>1006473.6000000001</v>
      </c>
      <c r="M298" s="1549"/>
    </row>
    <row r="299" spans="1:13" s="369" customFormat="1" ht="11.25" customHeight="1" x14ac:dyDescent="0.25">
      <c r="A299" s="1165" t="s">
        <v>2798</v>
      </c>
      <c r="B299" s="294"/>
      <c r="C299" s="1621"/>
      <c r="D299" s="1621"/>
      <c r="E299" s="1622"/>
      <c r="F299" s="1623"/>
      <c r="G299" s="1621"/>
      <c r="H299" s="1622"/>
      <c r="I299" s="1624"/>
      <c r="J299" s="1623">
        <v>3124800</v>
      </c>
      <c r="K299" s="1621">
        <f t="shared" si="101"/>
        <v>3309163.1999999997</v>
      </c>
      <c r="L299" s="1622">
        <f t="shared" si="102"/>
        <v>3494476.3391999998</v>
      </c>
      <c r="M299" s="1549"/>
    </row>
    <row r="300" spans="1:13" s="369" customFormat="1" ht="11.25" customHeight="1" x14ac:dyDescent="0.25">
      <c r="A300" s="1165" t="s">
        <v>2799</v>
      </c>
      <c r="B300" s="294"/>
      <c r="C300" s="1621"/>
      <c r="D300" s="1621"/>
      <c r="E300" s="1622"/>
      <c r="F300" s="1623"/>
      <c r="G300" s="1621"/>
      <c r="H300" s="1622"/>
      <c r="I300" s="1624"/>
      <c r="J300" s="1623">
        <v>922460</v>
      </c>
      <c r="K300" s="1621">
        <f t="shared" si="101"/>
        <v>976885.1399999999</v>
      </c>
      <c r="L300" s="1622">
        <f t="shared" si="102"/>
        <v>1031590.7078399999</v>
      </c>
      <c r="M300" s="1549"/>
    </row>
    <row r="301" spans="1:13" s="369" customFormat="1" ht="11.25" customHeight="1" x14ac:dyDescent="0.25">
      <c r="A301" s="1165" t="s">
        <v>2730</v>
      </c>
      <c r="B301" s="294"/>
      <c r="C301" s="1621"/>
      <c r="D301" s="1621"/>
      <c r="E301" s="1622"/>
      <c r="F301" s="1623">
        <v>10600000</v>
      </c>
      <c r="G301" s="1621">
        <v>12100000</v>
      </c>
      <c r="H301" s="1622">
        <v>12100000</v>
      </c>
      <c r="I301" s="1624">
        <v>1322434.82</v>
      </c>
      <c r="J301" s="1623"/>
      <c r="K301" s="1621">
        <f t="shared" si="101"/>
        <v>0</v>
      </c>
      <c r="L301" s="1622">
        <f t="shared" si="102"/>
        <v>0</v>
      </c>
      <c r="M301" s="1549"/>
    </row>
    <row r="302" spans="1:13" s="369" customFormat="1" ht="11.25" customHeight="1" x14ac:dyDescent="0.25">
      <c r="A302" s="1165" t="s">
        <v>2742</v>
      </c>
      <c r="B302" s="294"/>
      <c r="C302" s="1621"/>
      <c r="D302" s="1621"/>
      <c r="E302" s="1622"/>
      <c r="F302" s="1623"/>
      <c r="G302" s="1621">
        <v>1067179.54</v>
      </c>
      <c r="H302" s="1622">
        <v>1067179.54</v>
      </c>
      <c r="I302" s="1624"/>
      <c r="J302" s="1623"/>
      <c r="K302" s="1621">
        <f t="shared" si="101"/>
        <v>0</v>
      </c>
      <c r="L302" s="1622">
        <f t="shared" si="102"/>
        <v>0</v>
      </c>
      <c r="M302" s="1549"/>
    </row>
    <row r="303" spans="1:13" s="369" customFormat="1" ht="11.25" customHeight="1" x14ac:dyDescent="0.25">
      <c r="A303" s="1165" t="s">
        <v>2738</v>
      </c>
      <c r="B303" s="294"/>
      <c r="C303" s="1621"/>
      <c r="D303" s="1621"/>
      <c r="E303" s="1622"/>
      <c r="F303" s="1623">
        <v>1300000</v>
      </c>
      <c r="G303" s="1621">
        <v>2500000</v>
      </c>
      <c r="H303" s="1622">
        <v>2500000</v>
      </c>
      <c r="I303" s="1624">
        <v>647461.77</v>
      </c>
      <c r="J303" s="1623"/>
      <c r="K303" s="1621">
        <f t="shared" si="101"/>
        <v>0</v>
      </c>
      <c r="L303" s="1622">
        <f t="shared" si="102"/>
        <v>0</v>
      </c>
      <c r="M303" s="1549"/>
    </row>
    <row r="304" spans="1:13" s="369" customFormat="1" ht="11.25" customHeight="1" x14ac:dyDescent="0.25">
      <c r="A304" s="1165" t="s">
        <v>2739</v>
      </c>
      <c r="B304" s="294"/>
      <c r="C304" s="1621"/>
      <c r="D304" s="1621"/>
      <c r="E304" s="1622"/>
      <c r="F304" s="1623">
        <v>700000</v>
      </c>
      <c r="G304" s="1621">
        <v>700000</v>
      </c>
      <c r="H304" s="1622">
        <v>700000</v>
      </c>
      <c r="I304" s="1624"/>
      <c r="J304" s="1623"/>
      <c r="K304" s="1621">
        <f t="shared" si="101"/>
        <v>0</v>
      </c>
      <c r="L304" s="1622">
        <f t="shared" si="102"/>
        <v>0</v>
      </c>
      <c r="M304" s="1549"/>
    </row>
    <row r="305" spans="1:13" s="369" customFormat="1" ht="11.25" customHeight="1" x14ac:dyDescent="0.25">
      <c r="A305" s="1165" t="s">
        <v>2713</v>
      </c>
      <c r="B305" s="294"/>
      <c r="C305" s="1621"/>
      <c r="D305" s="1621"/>
      <c r="E305" s="1622">
        <v>1215962.18</v>
      </c>
      <c r="F305" s="1623">
        <v>2000000</v>
      </c>
      <c r="G305" s="1621">
        <v>2316074.4500000002</v>
      </c>
      <c r="H305" s="1622">
        <v>2316074.4500000002</v>
      </c>
      <c r="I305" s="1624">
        <v>942137.5</v>
      </c>
      <c r="J305" s="1623"/>
      <c r="K305" s="1621">
        <f t="shared" si="101"/>
        <v>0</v>
      </c>
      <c r="L305" s="1622">
        <f t="shared" si="102"/>
        <v>0</v>
      </c>
      <c r="M305" s="1549"/>
    </row>
    <row r="306" spans="1:13" s="369" customFormat="1" ht="11.25" customHeight="1" x14ac:dyDescent="0.25">
      <c r="A306" s="1165" t="s">
        <v>2749</v>
      </c>
      <c r="B306" s="294"/>
      <c r="C306" s="1621"/>
      <c r="D306" s="1621"/>
      <c r="E306" s="1622">
        <v>1350256.3</v>
      </c>
      <c r="F306" s="1623"/>
      <c r="G306" s="1621">
        <v>68746.539999999994</v>
      </c>
      <c r="H306" s="1622">
        <v>68746.539999999994</v>
      </c>
      <c r="I306" s="1624">
        <v>168800</v>
      </c>
      <c r="J306" s="1623"/>
      <c r="K306" s="1621">
        <f t="shared" si="101"/>
        <v>0</v>
      </c>
      <c r="L306" s="1622">
        <f t="shared" si="102"/>
        <v>0</v>
      </c>
      <c r="M306" s="1549"/>
    </row>
    <row r="307" spans="1:13" s="369" customFormat="1" ht="11.25" customHeight="1" x14ac:dyDescent="0.25">
      <c r="A307" s="1165" t="s">
        <v>2801</v>
      </c>
      <c r="B307" s="294"/>
      <c r="C307" s="1621"/>
      <c r="D307" s="1621"/>
      <c r="E307" s="1622"/>
      <c r="F307" s="1623"/>
      <c r="G307" s="1621"/>
      <c r="H307" s="1622"/>
      <c r="I307" s="1624"/>
      <c r="J307" s="1623">
        <v>1200000</v>
      </c>
      <c r="K307" s="1621">
        <f t="shared" si="101"/>
        <v>1270800</v>
      </c>
      <c r="L307" s="1622">
        <f t="shared" si="102"/>
        <v>1341964.8</v>
      </c>
      <c r="M307" s="1549"/>
    </row>
    <row r="308" spans="1:13" s="369" customFormat="1" ht="11.25" customHeight="1" x14ac:dyDescent="0.25">
      <c r="A308" s="1165" t="s">
        <v>2802</v>
      </c>
      <c r="B308" s="294"/>
      <c r="C308" s="1621"/>
      <c r="D308" s="1621"/>
      <c r="E308" s="1622"/>
      <c r="F308" s="1623"/>
      <c r="G308" s="1621"/>
      <c r="H308" s="1622"/>
      <c r="I308" s="1624"/>
      <c r="J308" s="1623">
        <v>1000000</v>
      </c>
      <c r="K308" s="1621">
        <f t="shared" si="101"/>
        <v>1059000</v>
      </c>
      <c r="L308" s="1622">
        <f t="shared" si="102"/>
        <v>1118304</v>
      </c>
      <c r="M308" s="1549"/>
    </row>
    <row r="309" spans="1:13" s="369" customFormat="1" ht="11.25" customHeight="1" x14ac:dyDescent="0.25">
      <c r="A309" s="1165" t="s">
        <v>2803</v>
      </c>
      <c r="B309" s="294"/>
      <c r="C309" s="1621"/>
      <c r="D309" s="1621"/>
      <c r="E309" s="1622"/>
      <c r="F309" s="1623"/>
      <c r="G309" s="1621"/>
      <c r="H309" s="1622"/>
      <c r="I309" s="1624"/>
      <c r="J309" s="1623">
        <v>1040000</v>
      </c>
      <c r="K309" s="1621">
        <f t="shared" si="101"/>
        <v>1101360</v>
      </c>
      <c r="L309" s="1622">
        <f t="shared" si="102"/>
        <v>1163036.1600000001</v>
      </c>
      <c r="M309" s="1549"/>
    </row>
    <row r="310" spans="1:13" s="369" customFormat="1" ht="11.25" customHeight="1" x14ac:dyDescent="0.25">
      <c r="A310" s="1165" t="s">
        <v>2804</v>
      </c>
      <c r="B310" s="294"/>
      <c r="C310" s="1621"/>
      <c r="D310" s="1621"/>
      <c r="E310" s="1622"/>
      <c r="F310" s="1623"/>
      <c r="G310" s="1621"/>
      <c r="H310" s="1622"/>
      <c r="I310" s="1624"/>
      <c r="J310" s="1623">
        <v>1000000</v>
      </c>
      <c r="K310" s="1621">
        <f t="shared" si="101"/>
        <v>1059000</v>
      </c>
      <c r="L310" s="1622">
        <f t="shared" si="102"/>
        <v>1118304</v>
      </c>
      <c r="M310" s="1549"/>
    </row>
    <row r="311" spans="1:13" s="369" customFormat="1" ht="11.25" customHeight="1" x14ac:dyDescent="0.25">
      <c r="A311" s="1165" t="s">
        <v>2805</v>
      </c>
      <c r="B311" s="294"/>
      <c r="C311" s="1621"/>
      <c r="D311" s="1621"/>
      <c r="E311" s="1622"/>
      <c r="F311" s="1623"/>
      <c r="G311" s="1621"/>
      <c r="H311" s="1622"/>
      <c r="I311" s="1624"/>
      <c r="J311" s="1623">
        <v>850000</v>
      </c>
      <c r="K311" s="1621">
        <f t="shared" ref="K311:K326" si="103">J311*1.059</f>
        <v>900150</v>
      </c>
      <c r="L311" s="1622">
        <f t="shared" ref="L311:L326" si="104">K311*1.056</f>
        <v>950558.4</v>
      </c>
      <c r="M311" s="1549"/>
    </row>
    <row r="312" spans="1:13" s="369" customFormat="1" ht="11.25" customHeight="1" x14ac:dyDescent="0.25">
      <c r="A312" s="1165" t="s">
        <v>2806</v>
      </c>
      <c r="B312" s="294"/>
      <c r="C312" s="1621"/>
      <c r="D312" s="1621"/>
      <c r="E312" s="1622"/>
      <c r="F312" s="1623"/>
      <c r="G312" s="1621"/>
      <c r="H312" s="1622"/>
      <c r="I312" s="1624"/>
      <c r="J312" s="1623">
        <v>850000</v>
      </c>
      <c r="K312" s="1621">
        <f t="shared" si="103"/>
        <v>900150</v>
      </c>
      <c r="L312" s="1622">
        <f t="shared" si="104"/>
        <v>950558.4</v>
      </c>
      <c r="M312" s="1549"/>
    </row>
    <row r="313" spans="1:13" s="369" customFormat="1" ht="11.25" customHeight="1" x14ac:dyDescent="0.25">
      <c r="A313" s="1165" t="s">
        <v>2807</v>
      </c>
      <c r="B313" s="294"/>
      <c r="C313" s="1621"/>
      <c r="D313" s="1621"/>
      <c r="E313" s="1622"/>
      <c r="F313" s="1623"/>
      <c r="G313" s="1621"/>
      <c r="H313" s="1622"/>
      <c r="I313" s="1624"/>
      <c r="J313" s="1623">
        <v>850000</v>
      </c>
      <c r="K313" s="1621">
        <f t="shared" si="103"/>
        <v>900150</v>
      </c>
      <c r="L313" s="1622">
        <f t="shared" si="104"/>
        <v>950558.4</v>
      </c>
      <c r="M313" s="1549"/>
    </row>
    <row r="314" spans="1:13" s="369" customFormat="1" ht="11.25" customHeight="1" x14ac:dyDescent="0.25">
      <c r="A314" s="1165" t="s">
        <v>2808</v>
      </c>
      <c r="B314" s="294"/>
      <c r="C314" s="1621"/>
      <c r="D314" s="1621"/>
      <c r="E314" s="1622"/>
      <c r="F314" s="1623"/>
      <c r="G314" s="1621"/>
      <c r="H314" s="1622"/>
      <c r="I314" s="1624"/>
      <c r="J314" s="1623">
        <v>920000</v>
      </c>
      <c r="K314" s="1621">
        <f t="shared" si="103"/>
        <v>974280</v>
      </c>
      <c r="L314" s="1622">
        <f t="shared" si="104"/>
        <v>1028839.68</v>
      </c>
      <c r="M314" s="1549"/>
    </row>
    <row r="315" spans="1:13" s="369" customFormat="1" ht="11.25" customHeight="1" x14ac:dyDescent="0.25">
      <c r="A315" s="1165" t="s">
        <v>2809</v>
      </c>
      <c r="B315" s="294"/>
      <c r="C315" s="1621"/>
      <c r="D315" s="1621"/>
      <c r="E315" s="1622"/>
      <c r="F315" s="1623"/>
      <c r="G315" s="1621"/>
      <c r="H315" s="1622"/>
      <c r="I315" s="1624"/>
      <c r="J315" s="1623">
        <v>920000</v>
      </c>
      <c r="K315" s="1621">
        <f t="shared" si="103"/>
        <v>974280</v>
      </c>
      <c r="L315" s="1622">
        <f t="shared" si="104"/>
        <v>1028839.68</v>
      </c>
      <c r="M315" s="1549"/>
    </row>
    <row r="316" spans="1:13" s="369" customFormat="1" ht="11.25" customHeight="1" x14ac:dyDescent="0.25">
      <c r="A316" s="1165" t="s">
        <v>2810</v>
      </c>
      <c r="B316" s="294"/>
      <c r="C316" s="1621"/>
      <c r="D316" s="1621"/>
      <c r="E316" s="1622"/>
      <c r="F316" s="1623"/>
      <c r="G316" s="1621"/>
      <c r="H316" s="1622"/>
      <c r="I316" s="1624"/>
      <c r="J316" s="1623">
        <v>920000</v>
      </c>
      <c r="K316" s="1621">
        <f t="shared" si="103"/>
        <v>974280</v>
      </c>
      <c r="L316" s="1622">
        <f t="shared" si="104"/>
        <v>1028839.68</v>
      </c>
      <c r="M316" s="1549"/>
    </row>
    <row r="317" spans="1:13" s="369" customFormat="1" ht="11.25" customHeight="1" x14ac:dyDescent="0.25">
      <c r="A317" s="1165" t="s">
        <v>2811</v>
      </c>
      <c r="B317" s="294"/>
      <c r="C317" s="1621"/>
      <c r="D317" s="1621"/>
      <c r="E317" s="1622"/>
      <c r="F317" s="1623"/>
      <c r="G317" s="1621"/>
      <c r="H317" s="1622"/>
      <c r="I317" s="1624"/>
      <c r="J317" s="1623">
        <v>1200000</v>
      </c>
      <c r="K317" s="1621">
        <f t="shared" si="103"/>
        <v>1270800</v>
      </c>
      <c r="L317" s="1622">
        <f t="shared" si="104"/>
        <v>1341964.8</v>
      </c>
      <c r="M317" s="1549"/>
    </row>
    <row r="318" spans="1:13" s="369" customFormat="1" ht="11.25" customHeight="1" x14ac:dyDescent="0.25">
      <c r="A318" s="1165" t="s">
        <v>2812</v>
      </c>
      <c r="B318" s="294"/>
      <c r="C318" s="1621"/>
      <c r="D318" s="1621"/>
      <c r="E318" s="1622"/>
      <c r="F318" s="1623"/>
      <c r="G318" s="1621"/>
      <c r="H318" s="1622"/>
      <c r="I318" s="1624"/>
      <c r="J318" s="1623">
        <v>1920000</v>
      </c>
      <c r="K318" s="1621">
        <f t="shared" si="103"/>
        <v>2033280</v>
      </c>
      <c r="L318" s="1622">
        <f t="shared" si="104"/>
        <v>2147143.6800000002</v>
      </c>
      <c r="M318" s="1549"/>
    </row>
    <row r="319" spans="1:13" s="369" customFormat="1" ht="11.25" customHeight="1" x14ac:dyDescent="0.25">
      <c r="A319" s="1165" t="s">
        <v>2813</v>
      </c>
      <c r="B319" s="294"/>
      <c r="C319" s="1621"/>
      <c r="D319" s="1621"/>
      <c r="E319" s="1622"/>
      <c r="F319" s="1623"/>
      <c r="G319" s="1621"/>
      <c r="H319" s="1622"/>
      <c r="I319" s="1624"/>
      <c r="J319" s="1623">
        <v>1200000</v>
      </c>
      <c r="K319" s="1621">
        <f t="shared" si="103"/>
        <v>1270800</v>
      </c>
      <c r="L319" s="1622">
        <f t="shared" si="104"/>
        <v>1341964.8</v>
      </c>
      <c r="M319" s="1549"/>
    </row>
    <row r="320" spans="1:13" s="369" customFormat="1" ht="11.25" customHeight="1" x14ac:dyDescent="0.25">
      <c r="A320" s="1165" t="s">
        <v>2814</v>
      </c>
      <c r="B320" s="294"/>
      <c r="C320" s="1621"/>
      <c r="D320" s="1621"/>
      <c r="E320" s="1622"/>
      <c r="F320" s="1623"/>
      <c r="G320" s="1621"/>
      <c r="H320" s="1622"/>
      <c r="I320" s="1624"/>
      <c r="J320" s="1623">
        <v>1000000</v>
      </c>
      <c r="K320" s="1621">
        <f t="shared" si="103"/>
        <v>1059000</v>
      </c>
      <c r="L320" s="1622">
        <f t="shared" si="104"/>
        <v>1118304</v>
      </c>
      <c r="M320" s="1549"/>
    </row>
    <row r="321" spans="1:13" s="369" customFormat="1" ht="11.25" customHeight="1" x14ac:dyDescent="0.25">
      <c r="A321" s="1165" t="s">
        <v>2815</v>
      </c>
      <c r="B321" s="294"/>
      <c r="C321" s="1621"/>
      <c r="D321" s="1621"/>
      <c r="E321" s="1622"/>
      <c r="F321" s="1623"/>
      <c r="G321" s="1621"/>
      <c r="H321" s="1622"/>
      <c r="I321" s="1624"/>
      <c r="J321" s="1623">
        <v>1000000</v>
      </c>
      <c r="K321" s="1621">
        <f t="shared" si="103"/>
        <v>1059000</v>
      </c>
      <c r="L321" s="1622">
        <f t="shared" si="104"/>
        <v>1118304</v>
      </c>
      <c r="M321" s="1549"/>
    </row>
    <row r="322" spans="1:13" s="369" customFormat="1" ht="11.25" customHeight="1" x14ac:dyDescent="0.25">
      <c r="A322" s="1165" t="s">
        <v>2816</v>
      </c>
      <c r="B322" s="294"/>
      <c r="C322" s="1621"/>
      <c r="D322" s="1621"/>
      <c r="E322" s="1622"/>
      <c r="F322" s="1623"/>
      <c r="G322" s="1621"/>
      <c r="H322" s="1622"/>
      <c r="I322" s="1624"/>
      <c r="J322" s="1623">
        <v>1200000</v>
      </c>
      <c r="K322" s="1621">
        <f t="shared" si="103"/>
        <v>1270800</v>
      </c>
      <c r="L322" s="1622">
        <f t="shared" si="104"/>
        <v>1341964.8</v>
      </c>
      <c r="M322" s="1549"/>
    </row>
    <row r="323" spans="1:13" s="369" customFormat="1" ht="11.25" customHeight="1" x14ac:dyDescent="0.25">
      <c r="A323" s="1165" t="s">
        <v>2817</v>
      </c>
      <c r="B323" s="294"/>
      <c r="C323" s="1621"/>
      <c r="D323" s="1621"/>
      <c r="E323" s="1622"/>
      <c r="F323" s="1623"/>
      <c r="G323" s="1621"/>
      <c r="H323" s="1622"/>
      <c r="I323" s="1624"/>
      <c r="J323" s="1623">
        <v>1040000</v>
      </c>
      <c r="K323" s="1621">
        <f t="shared" si="103"/>
        <v>1101360</v>
      </c>
      <c r="L323" s="1622">
        <f t="shared" si="104"/>
        <v>1163036.1600000001</v>
      </c>
      <c r="M323" s="1549"/>
    </row>
    <row r="324" spans="1:13" s="369" customFormat="1" ht="11.25" customHeight="1" x14ac:dyDescent="0.25">
      <c r="A324" s="1165" t="s">
        <v>2818</v>
      </c>
      <c r="B324" s="294"/>
      <c r="C324" s="1621"/>
      <c r="D324" s="1621"/>
      <c r="E324" s="1622"/>
      <c r="F324" s="1623"/>
      <c r="G324" s="1621"/>
      <c r="H324" s="1622"/>
      <c r="I324" s="1624"/>
      <c r="J324" s="1623">
        <v>1000000</v>
      </c>
      <c r="K324" s="1621">
        <f t="shared" si="103"/>
        <v>1059000</v>
      </c>
      <c r="L324" s="1622">
        <f t="shared" si="104"/>
        <v>1118304</v>
      </c>
      <c r="M324" s="1549"/>
    </row>
    <row r="325" spans="1:13" s="369" customFormat="1" ht="11.25" customHeight="1" x14ac:dyDescent="0.25">
      <c r="A325" s="1165" t="s">
        <v>2819</v>
      </c>
      <c r="B325" s="294"/>
      <c r="C325" s="1621"/>
      <c r="D325" s="1621"/>
      <c r="E325" s="1622"/>
      <c r="F325" s="1623"/>
      <c r="G325" s="1621"/>
      <c r="H325" s="1622"/>
      <c r="I325" s="1624"/>
      <c r="J325" s="1623">
        <v>1000000</v>
      </c>
      <c r="K325" s="1621">
        <f t="shared" si="103"/>
        <v>1059000</v>
      </c>
      <c r="L325" s="1622">
        <f t="shared" si="104"/>
        <v>1118304</v>
      </c>
      <c r="M325" s="1549"/>
    </row>
    <row r="326" spans="1:13" s="369" customFormat="1" ht="11.25" customHeight="1" x14ac:dyDescent="0.25">
      <c r="A326" s="1165" t="s">
        <v>2820</v>
      </c>
      <c r="B326" s="294"/>
      <c r="C326" s="1621"/>
      <c r="D326" s="1621"/>
      <c r="E326" s="1622"/>
      <c r="F326" s="1623"/>
      <c r="G326" s="1621"/>
      <c r="H326" s="1622"/>
      <c r="I326" s="1624"/>
      <c r="J326" s="1623">
        <v>23225939</v>
      </c>
      <c r="K326" s="1621">
        <f t="shared" si="103"/>
        <v>24596269.400999997</v>
      </c>
      <c r="L326" s="1622">
        <f t="shared" si="104"/>
        <v>25973660.487455998</v>
      </c>
      <c r="M326" s="1549"/>
    </row>
    <row r="327" spans="1:13" s="369" customFormat="1" ht="11.25" customHeight="1" x14ac:dyDescent="0.25">
      <c r="A327" s="2689"/>
      <c r="B327" s="429"/>
      <c r="C327" s="1624"/>
      <c r="D327" s="1624"/>
      <c r="E327" s="1624"/>
      <c r="F327" s="1624"/>
      <c r="G327" s="1624"/>
      <c r="H327" s="1624"/>
      <c r="I327" s="1624"/>
      <c r="J327" s="1624"/>
      <c r="K327" s="1624"/>
      <c r="L327" s="1624"/>
      <c r="M327" s="1549"/>
    </row>
    <row r="328" spans="1:13" x14ac:dyDescent="0.25">
      <c r="C328" s="2694"/>
      <c r="D328" s="2694"/>
      <c r="E328" s="2694"/>
      <c r="F328" s="2694"/>
      <c r="G328" s="2694"/>
      <c r="H328" s="2694"/>
      <c r="I328" s="2694"/>
      <c r="J328" s="2694"/>
      <c r="K328" s="2694"/>
      <c r="L328" s="2694"/>
    </row>
    <row r="329" spans="1:13" ht="15" customHeight="1" x14ac:dyDescent="0.25">
      <c r="A329" s="1164" t="str">
        <f>A61</f>
        <v>Vote 6 - 500 PMU</v>
      </c>
      <c r="B329" s="976"/>
      <c r="C329" s="971">
        <f t="shared" ref="C329:L329" si="105">SUM(C330:C339)</f>
        <v>0</v>
      </c>
      <c r="D329" s="971">
        <f t="shared" si="105"/>
        <v>0</v>
      </c>
      <c r="E329" s="972">
        <f t="shared" si="105"/>
        <v>0</v>
      </c>
      <c r="F329" s="973">
        <f t="shared" si="105"/>
        <v>0</v>
      </c>
      <c r="G329" s="971">
        <f t="shared" si="105"/>
        <v>90000</v>
      </c>
      <c r="H329" s="972">
        <f t="shared" si="105"/>
        <v>90000</v>
      </c>
      <c r="I329" s="974">
        <f t="shared" si="105"/>
        <v>0</v>
      </c>
      <c r="J329" s="973">
        <f t="shared" si="105"/>
        <v>90000</v>
      </c>
      <c r="K329" s="971">
        <f t="shared" si="105"/>
        <v>95310</v>
      </c>
      <c r="L329" s="972">
        <f t="shared" si="105"/>
        <v>100647.36</v>
      </c>
      <c r="M329" s="369"/>
    </row>
    <row r="330" spans="1:13" ht="11.25" customHeight="1" x14ac:dyDescent="0.25">
      <c r="A330" s="1165" t="s">
        <v>2779</v>
      </c>
      <c r="B330" s="293"/>
      <c r="C330" s="1044"/>
      <c r="D330" s="1044"/>
      <c r="E330" s="1045"/>
      <c r="F330" s="1046"/>
      <c r="G330" s="1044">
        <v>90000</v>
      </c>
      <c r="H330" s="1045">
        <v>90000</v>
      </c>
      <c r="I330" s="1045"/>
      <c r="J330" s="1046">
        <v>90000</v>
      </c>
      <c r="K330" s="1044">
        <f>J330*1.059</f>
        <v>95310</v>
      </c>
      <c r="L330" s="1045">
        <f>K330*1.056</f>
        <v>100647.36</v>
      </c>
      <c r="M330" s="369"/>
    </row>
    <row r="331" spans="1:13" ht="11.25" customHeight="1" x14ac:dyDescent="0.25">
      <c r="A331" s="1164">
        <f t="shared" ref="A331:A351" si="106">A63</f>
        <v>0</v>
      </c>
      <c r="B331" s="293"/>
      <c r="C331" s="1044"/>
      <c r="D331" s="1044"/>
      <c r="E331" s="1045"/>
      <c r="F331" s="1046"/>
      <c r="G331" s="1044"/>
      <c r="H331" s="1045"/>
      <c r="I331" s="1047"/>
      <c r="J331" s="1046"/>
      <c r="K331" s="1044"/>
      <c r="L331" s="1045"/>
      <c r="M331" s="369"/>
    </row>
    <row r="332" spans="1:13" ht="11.25" customHeight="1" x14ac:dyDescent="0.25">
      <c r="A332" s="1164">
        <f t="shared" si="106"/>
        <v>0</v>
      </c>
      <c r="B332" s="293"/>
      <c r="C332" s="1044"/>
      <c r="D332" s="1044"/>
      <c r="E332" s="1045"/>
      <c r="F332" s="1046"/>
      <c r="G332" s="1044"/>
      <c r="H332" s="1045"/>
      <c r="I332" s="1047"/>
      <c r="J332" s="1046"/>
      <c r="K332" s="1044"/>
      <c r="L332" s="1045"/>
      <c r="M332" s="369"/>
    </row>
    <row r="333" spans="1:13" ht="11.25" customHeight="1" x14ac:dyDescent="0.25">
      <c r="A333" s="1164">
        <f t="shared" si="106"/>
        <v>0</v>
      </c>
      <c r="B333" s="293"/>
      <c r="C333" s="1044"/>
      <c r="D333" s="1044"/>
      <c r="E333" s="1045"/>
      <c r="F333" s="1046"/>
      <c r="G333" s="1044"/>
      <c r="H333" s="1045"/>
      <c r="I333" s="1047"/>
      <c r="J333" s="1046"/>
      <c r="K333" s="1044"/>
      <c r="L333" s="1045"/>
      <c r="M333" s="369"/>
    </row>
    <row r="334" spans="1:13" ht="11.25" customHeight="1" x14ac:dyDescent="0.25">
      <c r="A334" s="1164">
        <f t="shared" si="106"/>
        <v>0</v>
      </c>
      <c r="B334" s="293"/>
      <c r="C334" s="1044"/>
      <c r="D334" s="1044"/>
      <c r="E334" s="1045"/>
      <c r="F334" s="1046"/>
      <c r="G334" s="1044"/>
      <c r="H334" s="1045"/>
      <c r="I334" s="1047"/>
      <c r="J334" s="1046"/>
      <c r="K334" s="1044"/>
      <c r="L334" s="1045"/>
      <c r="M334" s="369"/>
    </row>
    <row r="335" spans="1:13" ht="11.25" customHeight="1" x14ac:dyDescent="0.25">
      <c r="A335" s="1164">
        <f t="shared" si="106"/>
        <v>0</v>
      </c>
      <c r="B335" s="293"/>
      <c r="C335" s="1044"/>
      <c r="D335" s="1044"/>
      <c r="E335" s="1045"/>
      <c r="F335" s="1046"/>
      <c r="G335" s="1044"/>
      <c r="H335" s="1045"/>
      <c r="I335" s="1047"/>
      <c r="J335" s="1046"/>
      <c r="K335" s="1044"/>
      <c r="L335" s="1045"/>
      <c r="M335" s="369"/>
    </row>
    <row r="336" spans="1:13" ht="11.25" customHeight="1" x14ac:dyDescent="0.25">
      <c r="A336" s="1164">
        <f t="shared" si="106"/>
        <v>0</v>
      </c>
      <c r="B336" s="293"/>
      <c r="C336" s="1044"/>
      <c r="D336" s="1044"/>
      <c r="E336" s="1045"/>
      <c r="F336" s="1046"/>
      <c r="G336" s="1044"/>
      <c r="H336" s="1045"/>
      <c r="I336" s="1047"/>
      <c r="J336" s="1046"/>
      <c r="K336" s="1044"/>
      <c r="L336" s="1045"/>
      <c r="M336" s="369"/>
    </row>
    <row r="337" spans="1:13" ht="11.25" customHeight="1" x14ac:dyDescent="0.25">
      <c r="A337" s="1164">
        <f t="shared" si="106"/>
        <v>0</v>
      </c>
      <c r="B337" s="293"/>
      <c r="C337" s="1044"/>
      <c r="D337" s="1044"/>
      <c r="E337" s="1045"/>
      <c r="F337" s="1046"/>
      <c r="G337" s="1044"/>
      <c r="H337" s="1045"/>
      <c r="I337" s="1047"/>
      <c r="J337" s="1046"/>
      <c r="K337" s="1044"/>
      <c r="L337" s="1045"/>
      <c r="M337" s="369"/>
    </row>
    <row r="338" spans="1:13" ht="11.25" customHeight="1" x14ac:dyDescent="0.25">
      <c r="A338" s="1164">
        <f t="shared" si="106"/>
        <v>0</v>
      </c>
      <c r="B338" s="293"/>
      <c r="C338" s="1044"/>
      <c r="D338" s="1044"/>
      <c r="E338" s="1045"/>
      <c r="F338" s="1046"/>
      <c r="G338" s="1044"/>
      <c r="H338" s="1045"/>
      <c r="I338" s="1047"/>
      <c r="J338" s="1046"/>
      <c r="K338" s="1044"/>
      <c r="L338" s="1045"/>
      <c r="M338" s="369"/>
    </row>
    <row r="339" spans="1:13" ht="11.25" customHeight="1" x14ac:dyDescent="0.25">
      <c r="A339" s="1164">
        <f t="shared" si="106"/>
        <v>0</v>
      </c>
      <c r="B339" s="293"/>
      <c r="C339" s="1044"/>
      <c r="D339" s="1044"/>
      <c r="E339" s="1045"/>
      <c r="F339" s="1046"/>
      <c r="G339" s="1044"/>
      <c r="H339" s="1045"/>
      <c r="I339" s="1047"/>
      <c r="J339" s="1046"/>
      <c r="K339" s="1044"/>
      <c r="L339" s="1045"/>
      <c r="M339" s="369"/>
    </row>
    <row r="340" spans="1:13" ht="15" customHeight="1" x14ac:dyDescent="0.25">
      <c r="A340" s="1164" t="str">
        <f t="shared" si="106"/>
        <v>Vote 7 - 520 WASTE MANAGEMENT</v>
      </c>
      <c r="B340" s="976"/>
      <c r="C340" s="971">
        <f t="shared" ref="C340:L340" si="107">SUM(C341:C350)</f>
        <v>0</v>
      </c>
      <c r="D340" s="971">
        <f t="shared" si="107"/>
        <v>0</v>
      </c>
      <c r="E340" s="972">
        <f t="shared" si="107"/>
        <v>0</v>
      </c>
      <c r="F340" s="973">
        <f t="shared" si="107"/>
        <v>0</v>
      </c>
      <c r="G340" s="971">
        <f t="shared" si="107"/>
        <v>0</v>
      </c>
      <c r="H340" s="972">
        <f t="shared" si="107"/>
        <v>0</v>
      </c>
      <c r="I340" s="974">
        <f t="shared" si="107"/>
        <v>0</v>
      </c>
      <c r="J340" s="973">
        <f t="shared" si="107"/>
        <v>0</v>
      </c>
      <c r="K340" s="971">
        <f t="shared" si="107"/>
        <v>0</v>
      </c>
      <c r="L340" s="972">
        <f t="shared" si="107"/>
        <v>0</v>
      </c>
      <c r="M340" s="369"/>
    </row>
    <row r="341" spans="1:13" ht="11.25" customHeight="1" x14ac:dyDescent="0.25">
      <c r="A341" s="1164" t="str">
        <f t="shared" si="106"/>
        <v>7.1 - [Name of sub-vote]</v>
      </c>
      <c r="B341" s="293"/>
      <c r="C341" s="1044"/>
      <c r="D341" s="1044"/>
      <c r="E341" s="1045"/>
      <c r="F341" s="1046"/>
      <c r="G341" s="1044"/>
      <c r="H341" s="1045"/>
      <c r="I341" s="1047"/>
      <c r="J341" s="1046"/>
      <c r="K341" s="1044"/>
      <c r="L341" s="1045"/>
      <c r="M341" s="369"/>
    </row>
    <row r="342" spans="1:13" ht="11.25" customHeight="1" x14ac:dyDescent="0.25">
      <c r="A342" s="1164">
        <f t="shared" si="106"/>
        <v>0</v>
      </c>
      <c r="B342" s="293"/>
      <c r="C342" s="1044"/>
      <c r="D342" s="1044"/>
      <c r="E342" s="1045"/>
      <c r="F342" s="1046"/>
      <c r="G342" s="1044"/>
      <c r="H342" s="1045"/>
      <c r="I342" s="1047"/>
      <c r="J342" s="1046"/>
      <c r="K342" s="1044"/>
      <c r="L342" s="1045"/>
      <c r="M342" s="369"/>
    </row>
    <row r="343" spans="1:13" ht="11.25" customHeight="1" x14ac:dyDescent="0.25">
      <c r="A343" s="1164">
        <f t="shared" si="106"/>
        <v>0</v>
      </c>
      <c r="B343" s="293"/>
      <c r="C343" s="1044"/>
      <c r="D343" s="1044"/>
      <c r="E343" s="1045"/>
      <c r="F343" s="1046"/>
      <c r="G343" s="1044"/>
      <c r="H343" s="1045"/>
      <c r="I343" s="1047"/>
      <c r="J343" s="1046"/>
      <c r="K343" s="1044"/>
      <c r="L343" s="1045"/>
      <c r="M343" s="369"/>
    </row>
    <row r="344" spans="1:13" ht="11.25" customHeight="1" x14ac:dyDescent="0.25">
      <c r="A344" s="1164">
        <f t="shared" si="106"/>
        <v>0</v>
      </c>
      <c r="B344" s="293"/>
      <c r="C344" s="1044"/>
      <c r="D344" s="1044"/>
      <c r="E344" s="1045"/>
      <c r="F344" s="1046"/>
      <c r="G344" s="1044"/>
      <c r="H344" s="1045"/>
      <c r="I344" s="1047"/>
      <c r="J344" s="1046"/>
      <c r="K344" s="1044"/>
      <c r="L344" s="1045"/>
      <c r="M344" s="369"/>
    </row>
    <row r="345" spans="1:13" ht="11.25" customHeight="1" x14ac:dyDescent="0.25">
      <c r="A345" s="1164">
        <f t="shared" si="106"/>
        <v>0</v>
      </c>
      <c r="B345" s="293"/>
      <c r="C345" s="1044"/>
      <c r="D345" s="1044"/>
      <c r="E345" s="1045"/>
      <c r="F345" s="1046"/>
      <c r="G345" s="1044"/>
      <c r="H345" s="1045"/>
      <c r="I345" s="1047"/>
      <c r="J345" s="1046"/>
      <c r="K345" s="1044"/>
      <c r="L345" s="1045"/>
      <c r="M345" s="369"/>
    </row>
    <row r="346" spans="1:13" ht="11.25" customHeight="1" x14ac:dyDescent="0.25">
      <c r="A346" s="1164">
        <f t="shared" si="106"/>
        <v>0</v>
      </c>
      <c r="B346" s="293"/>
      <c r="C346" s="1044"/>
      <c r="D346" s="1044"/>
      <c r="E346" s="1045"/>
      <c r="F346" s="1046"/>
      <c r="G346" s="1044"/>
      <c r="H346" s="1045"/>
      <c r="I346" s="1047"/>
      <c r="J346" s="1046"/>
      <c r="K346" s="1044"/>
      <c r="L346" s="1045"/>
      <c r="M346" s="369"/>
    </row>
    <row r="347" spans="1:13" ht="11.25" customHeight="1" x14ac:dyDescent="0.25">
      <c r="A347" s="1164">
        <f t="shared" si="106"/>
        <v>0</v>
      </c>
      <c r="B347" s="293"/>
      <c r="C347" s="1044"/>
      <c r="D347" s="1044"/>
      <c r="E347" s="1045"/>
      <c r="F347" s="1046"/>
      <c r="G347" s="1044"/>
      <c r="H347" s="1045"/>
      <c r="I347" s="1047"/>
      <c r="J347" s="1046"/>
      <c r="K347" s="1044"/>
      <c r="L347" s="1045"/>
      <c r="M347" s="369"/>
    </row>
    <row r="348" spans="1:13" ht="11.25" customHeight="1" x14ac:dyDescent="0.25">
      <c r="A348" s="1164">
        <f t="shared" si="106"/>
        <v>0</v>
      </c>
      <c r="B348" s="293"/>
      <c r="C348" s="1044"/>
      <c r="D348" s="1044"/>
      <c r="E348" s="1045"/>
      <c r="F348" s="1046"/>
      <c r="G348" s="1044"/>
      <c r="H348" s="1045"/>
      <c r="I348" s="1047"/>
      <c r="J348" s="1046"/>
      <c r="K348" s="1044"/>
      <c r="L348" s="1045"/>
      <c r="M348" s="369"/>
    </row>
    <row r="349" spans="1:13" ht="11.25" customHeight="1" x14ac:dyDescent="0.25">
      <c r="A349" s="1164">
        <f t="shared" si="106"/>
        <v>0</v>
      </c>
      <c r="B349" s="293"/>
      <c r="C349" s="1044"/>
      <c r="D349" s="1044"/>
      <c r="E349" s="1045"/>
      <c r="F349" s="1046"/>
      <c r="G349" s="1044"/>
      <c r="H349" s="1045"/>
      <c r="I349" s="1047"/>
      <c r="J349" s="1046"/>
      <c r="K349" s="1044"/>
      <c r="L349" s="1045"/>
      <c r="M349" s="369"/>
    </row>
    <row r="350" spans="1:13" ht="11.25" customHeight="1" x14ac:dyDescent="0.25">
      <c r="A350" s="1164">
        <f t="shared" si="106"/>
        <v>0</v>
      </c>
      <c r="B350" s="293"/>
      <c r="C350" s="1044"/>
      <c r="D350" s="1044"/>
      <c r="E350" s="1045"/>
      <c r="F350" s="1046"/>
      <c r="G350" s="1044"/>
      <c r="H350" s="1045"/>
      <c r="I350" s="1047"/>
      <c r="J350" s="1046"/>
      <c r="K350" s="1044"/>
      <c r="L350" s="1045"/>
      <c r="M350" s="369"/>
    </row>
    <row r="351" spans="1:13" ht="15" customHeight="1" x14ac:dyDescent="0.25">
      <c r="A351" s="1164" t="str">
        <f t="shared" si="106"/>
        <v>Vote 8 - 530 ELECTRICITY SERVICES</v>
      </c>
      <c r="B351" s="293"/>
      <c r="C351" s="971">
        <f t="shared" ref="C351:L351" si="108">SUM(C352:C361)</f>
        <v>0</v>
      </c>
      <c r="D351" s="971">
        <f t="shared" si="108"/>
        <v>0</v>
      </c>
      <c r="E351" s="972">
        <f t="shared" si="108"/>
        <v>0</v>
      </c>
      <c r="F351" s="973">
        <f t="shared" si="108"/>
        <v>0</v>
      </c>
      <c r="G351" s="971">
        <f t="shared" si="108"/>
        <v>0</v>
      </c>
      <c r="H351" s="972">
        <f t="shared" si="108"/>
        <v>0</v>
      </c>
      <c r="I351" s="974">
        <f t="shared" si="108"/>
        <v>0</v>
      </c>
      <c r="J351" s="973">
        <f t="shared" si="108"/>
        <v>1100000</v>
      </c>
      <c r="K351" s="971">
        <f t="shared" si="108"/>
        <v>1164900</v>
      </c>
      <c r="L351" s="972">
        <f t="shared" si="108"/>
        <v>1230134.4000000001</v>
      </c>
      <c r="M351" s="369"/>
    </row>
    <row r="352" spans="1:13" x14ac:dyDescent="0.25">
      <c r="A352" s="1164" t="s">
        <v>2896</v>
      </c>
      <c r="B352" s="293"/>
      <c r="C352" s="1044"/>
      <c r="D352" s="1044"/>
      <c r="E352" s="1047"/>
      <c r="F352" s="1046"/>
      <c r="G352" s="1044"/>
      <c r="H352" s="1045"/>
      <c r="I352" s="1047"/>
      <c r="J352" s="1046">
        <v>1100000</v>
      </c>
      <c r="K352" s="1044">
        <f>J352*1.059</f>
        <v>1164900</v>
      </c>
      <c r="L352" s="1045">
        <f>K352*1.056</f>
        <v>1230134.4000000001</v>
      </c>
      <c r="M352" s="369"/>
    </row>
    <row r="353" spans="1:13" x14ac:dyDescent="0.25">
      <c r="A353" s="1164">
        <f t="shared" ref="A353:A395" si="109">A85</f>
        <v>0</v>
      </c>
      <c r="B353" s="293"/>
      <c r="C353" s="1044"/>
      <c r="D353" s="1044"/>
      <c r="E353" s="1047"/>
      <c r="F353" s="1046"/>
      <c r="G353" s="1044"/>
      <c r="H353" s="1045"/>
      <c r="I353" s="1047"/>
      <c r="J353" s="1046"/>
      <c r="K353" s="1044"/>
      <c r="L353" s="1045"/>
      <c r="M353" s="369"/>
    </row>
    <row r="354" spans="1:13" x14ac:dyDescent="0.25">
      <c r="A354" s="1164">
        <f t="shared" si="109"/>
        <v>0</v>
      </c>
      <c r="B354" s="293"/>
      <c r="C354" s="1044"/>
      <c r="D354" s="1044"/>
      <c r="E354" s="1047"/>
      <c r="F354" s="1046"/>
      <c r="G354" s="1044"/>
      <c r="H354" s="1045"/>
      <c r="I354" s="1047"/>
      <c r="J354" s="1046"/>
      <c r="K354" s="1044"/>
      <c r="L354" s="1045"/>
      <c r="M354" s="369"/>
    </row>
    <row r="355" spans="1:13" x14ac:dyDescent="0.25">
      <c r="A355" s="1164">
        <f t="shared" si="109"/>
        <v>0</v>
      </c>
      <c r="B355" s="293"/>
      <c r="C355" s="1044"/>
      <c r="D355" s="1044"/>
      <c r="E355" s="1047"/>
      <c r="F355" s="1046"/>
      <c r="G355" s="1044"/>
      <c r="H355" s="1045"/>
      <c r="I355" s="1047"/>
      <c r="J355" s="1046"/>
      <c r="K355" s="1044"/>
      <c r="L355" s="1045"/>
      <c r="M355" s="369"/>
    </row>
    <row r="356" spans="1:13" x14ac:dyDescent="0.25">
      <c r="A356" s="1164">
        <f t="shared" si="109"/>
        <v>0</v>
      </c>
      <c r="B356" s="293"/>
      <c r="C356" s="1044"/>
      <c r="D356" s="1044"/>
      <c r="E356" s="1047"/>
      <c r="F356" s="1046"/>
      <c r="G356" s="1044"/>
      <c r="H356" s="1045"/>
      <c r="I356" s="1047"/>
      <c r="J356" s="1046"/>
      <c r="K356" s="1044"/>
      <c r="L356" s="1045"/>
      <c r="M356" s="369"/>
    </row>
    <row r="357" spans="1:13" x14ac:dyDescent="0.25">
      <c r="A357" s="1164">
        <f t="shared" si="109"/>
        <v>0</v>
      </c>
      <c r="B357" s="293"/>
      <c r="C357" s="1044"/>
      <c r="D357" s="1044"/>
      <c r="E357" s="1047"/>
      <c r="F357" s="1046"/>
      <c r="G357" s="1044"/>
      <c r="H357" s="1045"/>
      <c r="I357" s="1047"/>
      <c r="J357" s="1046"/>
      <c r="K357" s="1044"/>
      <c r="L357" s="1045"/>
      <c r="M357" s="369"/>
    </row>
    <row r="358" spans="1:13" x14ac:dyDescent="0.25">
      <c r="A358" s="1164">
        <f t="shared" si="109"/>
        <v>0</v>
      </c>
      <c r="B358" s="293"/>
      <c r="C358" s="1044"/>
      <c r="D358" s="1044"/>
      <c r="E358" s="1047"/>
      <c r="F358" s="1046"/>
      <c r="G358" s="1044"/>
      <c r="H358" s="1045"/>
      <c r="I358" s="1047"/>
      <c r="J358" s="1046"/>
      <c r="K358" s="1044"/>
      <c r="L358" s="1045"/>
      <c r="M358" s="369"/>
    </row>
    <row r="359" spans="1:13" x14ac:dyDescent="0.25">
      <c r="A359" s="1164">
        <f t="shared" si="109"/>
        <v>0</v>
      </c>
      <c r="B359" s="293"/>
      <c r="C359" s="1044"/>
      <c r="D359" s="1044"/>
      <c r="E359" s="1047"/>
      <c r="F359" s="1046"/>
      <c r="G359" s="1044"/>
      <c r="H359" s="1045"/>
      <c r="I359" s="1047"/>
      <c r="J359" s="1046"/>
      <c r="K359" s="1044"/>
      <c r="L359" s="1045"/>
      <c r="M359" s="369"/>
    </row>
    <row r="360" spans="1:13" x14ac:dyDescent="0.25">
      <c r="A360" s="1164">
        <f t="shared" si="109"/>
        <v>0</v>
      </c>
      <c r="B360" s="293"/>
      <c r="C360" s="1044"/>
      <c r="D360" s="1044"/>
      <c r="E360" s="1047"/>
      <c r="F360" s="1046"/>
      <c r="G360" s="1044"/>
      <c r="H360" s="1045"/>
      <c r="I360" s="1047"/>
      <c r="J360" s="1046"/>
      <c r="K360" s="1044"/>
      <c r="L360" s="1045"/>
      <c r="M360" s="369"/>
    </row>
    <row r="361" spans="1:13" x14ac:dyDescent="0.25">
      <c r="A361" s="1164">
        <f t="shared" si="109"/>
        <v>0</v>
      </c>
      <c r="B361" s="293"/>
      <c r="C361" s="1044"/>
      <c r="D361" s="1044"/>
      <c r="E361" s="1047"/>
      <c r="F361" s="1046"/>
      <c r="G361" s="1044"/>
      <c r="H361" s="1045"/>
      <c r="I361" s="1047"/>
      <c r="J361" s="1046"/>
      <c r="K361" s="1044"/>
      <c r="L361" s="1045"/>
      <c r="M361" s="369"/>
    </row>
    <row r="362" spans="1:13" ht="15" customHeight="1" x14ac:dyDescent="0.25">
      <c r="A362" s="1164" t="str">
        <f t="shared" si="109"/>
        <v>Vote 9 - 540 WATER SERVICES</v>
      </c>
      <c r="B362" s="293"/>
      <c r="C362" s="971">
        <f t="shared" ref="C362:L362" si="110">SUM(C363:C372)</f>
        <v>0</v>
      </c>
      <c r="D362" s="971">
        <f t="shared" si="110"/>
        <v>0</v>
      </c>
      <c r="E362" s="972">
        <f t="shared" si="110"/>
        <v>0</v>
      </c>
      <c r="F362" s="973">
        <f t="shared" si="110"/>
        <v>0</v>
      </c>
      <c r="G362" s="971">
        <f t="shared" si="110"/>
        <v>0</v>
      </c>
      <c r="H362" s="972">
        <f t="shared" si="110"/>
        <v>0</v>
      </c>
      <c r="I362" s="974">
        <f t="shared" si="110"/>
        <v>0</v>
      </c>
      <c r="J362" s="973">
        <f t="shared" si="110"/>
        <v>0</v>
      </c>
      <c r="K362" s="971">
        <f t="shared" si="110"/>
        <v>0</v>
      </c>
      <c r="L362" s="972">
        <f t="shared" si="110"/>
        <v>0</v>
      </c>
      <c r="M362" s="369"/>
    </row>
    <row r="363" spans="1:13" x14ac:dyDescent="0.25">
      <c r="A363" s="1164" t="str">
        <f t="shared" si="109"/>
        <v>9.1 - [Name of sub-vote]</v>
      </c>
      <c r="B363" s="293"/>
      <c r="C363" s="1044"/>
      <c r="D363" s="1044"/>
      <c r="E363" s="1047"/>
      <c r="F363" s="1046"/>
      <c r="G363" s="1044"/>
      <c r="H363" s="1045"/>
      <c r="I363" s="1047"/>
      <c r="J363" s="1046"/>
      <c r="K363" s="1044"/>
      <c r="L363" s="1045"/>
      <c r="M363" s="369"/>
    </row>
    <row r="364" spans="1:13" x14ac:dyDescent="0.25">
      <c r="A364" s="1164">
        <f t="shared" si="109"/>
        <v>0</v>
      </c>
      <c r="B364" s="293"/>
      <c r="C364" s="1044"/>
      <c r="D364" s="1044"/>
      <c r="E364" s="1047"/>
      <c r="F364" s="1046"/>
      <c r="G364" s="1044"/>
      <c r="H364" s="1045"/>
      <c r="I364" s="1047"/>
      <c r="J364" s="1046"/>
      <c r="K364" s="1044"/>
      <c r="L364" s="1045"/>
      <c r="M364" s="369"/>
    </row>
    <row r="365" spans="1:13" x14ac:dyDescent="0.25">
      <c r="A365" s="1164">
        <f t="shared" si="109"/>
        <v>0</v>
      </c>
      <c r="B365" s="293"/>
      <c r="C365" s="1044"/>
      <c r="D365" s="1044"/>
      <c r="E365" s="1047"/>
      <c r="F365" s="1046"/>
      <c r="G365" s="1044"/>
      <c r="H365" s="1045"/>
      <c r="I365" s="1047"/>
      <c r="J365" s="1046"/>
      <c r="K365" s="1044"/>
      <c r="L365" s="1045"/>
      <c r="M365" s="369"/>
    </row>
    <row r="366" spans="1:13" x14ac:dyDescent="0.25">
      <c r="A366" s="1164">
        <f t="shared" si="109"/>
        <v>0</v>
      </c>
      <c r="B366" s="293"/>
      <c r="C366" s="1044"/>
      <c r="D366" s="1044"/>
      <c r="E366" s="1047"/>
      <c r="F366" s="1046"/>
      <c r="G366" s="1044"/>
      <c r="H366" s="1045"/>
      <c r="I366" s="1047"/>
      <c r="J366" s="1046"/>
      <c r="K366" s="1044"/>
      <c r="L366" s="1045"/>
      <c r="M366" s="369"/>
    </row>
    <row r="367" spans="1:13" x14ac:dyDescent="0.25">
      <c r="A367" s="1164">
        <f t="shared" si="109"/>
        <v>0</v>
      </c>
      <c r="B367" s="293"/>
      <c r="C367" s="1044"/>
      <c r="D367" s="1044"/>
      <c r="E367" s="1047"/>
      <c r="F367" s="1046"/>
      <c r="G367" s="1044"/>
      <c r="H367" s="1045"/>
      <c r="I367" s="1047"/>
      <c r="J367" s="1046"/>
      <c r="K367" s="1044"/>
      <c r="L367" s="1045"/>
      <c r="M367" s="369"/>
    </row>
    <row r="368" spans="1:13" x14ac:dyDescent="0.25">
      <c r="A368" s="1164">
        <f t="shared" si="109"/>
        <v>0</v>
      </c>
      <c r="B368" s="293"/>
      <c r="C368" s="1044"/>
      <c r="D368" s="1044"/>
      <c r="E368" s="1047"/>
      <c r="F368" s="1046"/>
      <c r="G368" s="1044"/>
      <c r="H368" s="1045"/>
      <c r="I368" s="1047"/>
      <c r="J368" s="1046"/>
      <c r="K368" s="1044"/>
      <c r="L368" s="1045"/>
      <c r="M368" s="369"/>
    </row>
    <row r="369" spans="1:13" x14ac:dyDescent="0.25">
      <c r="A369" s="1164">
        <f t="shared" si="109"/>
        <v>0</v>
      </c>
      <c r="B369" s="293"/>
      <c r="C369" s="1044"/>
      <c r="D369" s="1044"/>
      <c r="E369" s="1047"/>
      <c r="F369" s="1046"/>
      <c r="G369" s="1044"/>
      <c r="H369" s="1045"/>
      <c r="I369" s="1047"/>
      <c r="J369" s="1046"/>
      <c r="K369" s="1044"/>
      <c r="L369" s="1045"/>
      <c r="M369" s="369"/>
    </row>
    <row r="370" spans="1:13" x14ac:dyDescent="0.25">
      <c r="A370" s="1164">
        <f t="shared" si="109"/>
        <v>0</v>
      </c>
      <c r="B370" s="293"/>
      <c r="C370" s="1044"/>
      <c r="D370" s="1044"/>
      <c r="E370" s="1047"/>
      <c r="F370" s="1046"/>
      <c r="G370" s="1044"/>
      <c r="H370" s="1045"/>
      <c r="I370" s="1047"/>
      <c r="J370" s="1046"/>
      <c r="K370" s="1044"/>
      <c r="L370" s="1045"/>
      <c r="M370" s="369"/>
    </row>
    <row r="371" spans="1:13" x14ac:dyDescent="0.25">
      <c r="A371" s="1164">
        <f t="shared" si="109"/>
        <v>0</v>
      </c>
      <c r="B371" s="293"/>
      <c r="C371" s="1044"/>
      <c r="D371" s="1044"/>
      <c r="E371" s="1047"/>
      <c r="F371" s="1046"/>
      <c r="G371" s="1044"/>
      <c r="H371" s="1045"/>
      <c r="I371" s="1047"/>
      <c r="J371" s="1046"/>
      <c r="K371" s="1044"/>
      <c r="L371" s="1045"/>
      <c r="M371" s="369"/>
    </row>
    <row r="372" spans="1:13" x14ac:dyDescent="0.25">
      <c r="A372" s="1164">
        <f t="shared" si="109"/>
        <v>0</v>
      </c>
      <c r="B372" s="293"/>
      <c r="C372" s="1044"/>
      <c r="D372" s="1044"/>
      <c r="E372" s="1047"/>
      <c r="F372" s="1046"/>
      <c r="G372" s="1044"/>
      <c r="H372" s="1045"/>
      <c r="I372" s="1047"/>
      <c r="J372" s="1046"/>
      <c r="K372" s="1044"/>
      <c r="L372" s="1045"/>
      <c r="M372" s="369"/>
    </row>
    <row r="373" spans="1:13" ht="15" customHeight="1" x14ac:dyDescent="0.25">
      <c r="A373" s="1164" t="str">
        <f t="shared" si="109"/>
        <v>Vote 10 - 550 ROADS &amp; STORMWATER</v>
      </c>
      <c r="B373" s="293"/>
      <c r="C373" s="971">
        <f t="shared" ref="C373:L373" si="111">SUM(C374:C383)</f>
        <v>0</v>
      </c>
      <c r="D373" s="971">
        <f t="shared" si="111"/>
        <v>0</v>
      </c>
      <c r="E373" s="972">
        <f t="shared" si="111"/>
        <v>0</v>
      </c>
      <c r="F373" s="973">
        <f t="shared" si="111"/>
        <v>0</v>
      </c>
      <c r="G373" s="971">
        <f t="shared" si="111"/>
        <v>0</v>
      </c>
      <c r="H373" s="972">
        <f t="shared" si="111"/>
        <v>0</v>
      </c>
      <c r="I373" s="974">
        <f t="shared" si="111"/>
        <v>0</v>
      </c>
      <c r="J373" s="973">
        <f t="shared" si="111"/>
        <v>0</v>
      </c>
      <c r="K373" s="971">
        <f t="shared" si="111"/>
        <v>0</v>
      </c>
      <c r="L373" s="972">
        <f t="shared" si="111"/>
        <v>0</v>
      </c>
      <c r="M373" s="369"/>
    </row>
    <row r="374" spans="1:13" x14ac:dyDescent="0.25">
      <c r="A374" s="1164" t="str">
        <f t="shared" si="109"/>
        <v>10.1 - [Name of sub-vote]</v>
      </c>
      <c r="B374" s="293"/>
      <c r="C374" s="1044"/>
      <c r="D374" s="1044"/>
      <c r="E374" s="1047"/>
      <c r="F374" s="1046"/>
      <c r="G374" s="1044"/>
      <c r="H374" s="1045"/>
      <c r="I374" s="1047"/>
      <c r="J374" s="1046"/>
      <c r="K374" s="1044"/>
      <c r="L374" s="1045"/>
      <c r="M374" s="369"/>
    </row>
    <row r="375" spans="1:13" x14ac:dyDescent="0.25">
      <c r="A375" s="1164">
        <f t="shared" si="109"/>
        <v>0</v>
      </c>
      <c r="B375" s="293"/>
      <c r="C375" s="1044"/>
      <c r="D375" s="1044"/>
      <c r="E375" s="1047"/>
      <c r="F375" s="1046"/>
      <c r="G375" s="1044"/>
      <c r="H375" s="1045"/>
      <c r="I375" s="1047"/>
      <c r="J375" s="1046"/>
      <c r="K375" s="1044"/>
      <c r="L375" s="1045"/>
      <c r="M375" s="369"/>
    </row>
    <row r="376" spans="1:13" x14ac:dyDescent="0.25">
      <c r="A376" s="1164">
        <f t="shared" si="109"/>
        <v>0</v>
      </c>
      <c r="B376" s="293"/>
      <c r="C376" s="1044"/>
      <c r="D376" s="1044"/>
      <c r="E376" s="1047"/>
      <c r="F376" s="1046"/>
      <c r="G376" s="1044"/>
      <c r="H376" s="1045"/>
      <c r="I376" s="1047"/>
      <c r="J376" s="1046"/>
      <c r="K376" s="1044"/>
      <c r="L376" s="1045"/>
      <c r="M376" s="369"/>
    </row>
    <row r="377" spans="1:13" x14ac:dyDescent="0.25">
      <c r="A377" s="1164">
        <f t="shared" si="109"/>
        <v>0</v>
      </c>
      <c r="B377" s="293"/>
      <c r="C377" s="1044"/>
      <c r="D377" s="1044"/>
      <c r="E377" s="1047"/>
      <c r="F377" s="1046"/>
      <c r="G377" s="1044"/>
      <c r="H377" s="1045"/>
      <c r="I377" s="1047"/>
      <c r="J377" s="1046"/>
      <c r="K377" s="1044"/>
      <c r="L377" s="1045"/>
      <c r="M377" s="369"/>
    </row>
    <row r="378" spans="1:13" x14ac:dyDescent="0.25">
      <c r="A378" s="1164">
        <f t="shared" si="109"/>
        <v>0</v>
      </c>
      <c r="B378" s="293"/>
      <c r="C378" s="1044"/>
      <c r="D378" s="1044"/>
      <c r="E378" s="1047"/>
      <c r="F378" s="1046"/>
      <c r="G378" s="1044"/>
      <c r="H378" s="1045"/>
      <c r="I378" s="1047"/>
      <c r="J378" s="1046"/>
      <c r="K378" s="1044"/>
      <c r="L378" s="1045"/>
      <c r="M378" s="369"/>
    </row>
    <row r="379" spans="1:13" x14ac:dyDescent="0.25">
      <c r="A379" s="1164">
        <f t="shared" si="109"/>
        <v>0</v>
      </c>
      <c r="B379" s="293"/>
      <c r="C379" s="1044"/>
      <c r="D379" s="1044"/>
      <c r="E379" s="1047"/>
      <c r="F379" s="1046"/>
      <c r="G379" s="1044"/>
      <c r="H379" s="1045"/>
      <c r="I379" s="1047"/>
      <c r="J379" s="1046"/>
      <c r="K379" s="1044"/>
      <c r="L379" s="1045"/>
      <c r="M379" s="369"/>
    </row>
    <row r="380" spans="1:13" x14ac:dyDescent="0.25">
      <c r="A380" s="1164">
        <f t="shared" si="109"/>
        <v>0</v>
      </c>
      <c r="B380" s="293"/>
      <c r="C380" s="1044"/>
      <c r="D380" s="1044"/>
      <c r="E380" s="1047"/>
      <c r="F380" s="1046"/>
      <c r="G380" s="1044"/>
      <c r="H380" s="1045"/>
      <c r="I380" s="1047"/>
      <c r="J380" s="1046"/>
      <c r="K380" s="1044"/>
      <c r="L380" s="1045"/>
      <c r="M380" s="369"/>
    </row>
    <row r="381" spans="1:13" x14ac:dyDescent="0.25">
      <c r="A381" s="1164">
        <f t="shared" si="109"/>
        <v>0</v>
      </c>
      <c r="B381" s="293"/>
      <c r="C381" s="1044"/>
      <c r="D381" s="1044"/>
      <c r="E381" s="1047"/>
      <c r="F381" s="1046"/>
      <c r="G381" s="1044"/>
      <c r="H381" s="1045"/>
      <c r="I381" s="1047"/>
      <c r="J381" s="1046"/>
      <c r="K381" s="1044"/>
      <c r="L381" s="1045"/>
      <c r="M381" s="369"/>
    </row>
    <row r="382" spans="1:13" x14ac:dyDescent="0.25">
      <c r="A382" s="1164">
        <f t="shared" si="109"/>
        <v>0</v>
      </c>
      <c r="B382" s="293"/>
      <c r="C382" s="1044"/>
      <c r="D382" s="1044"/>
      <c r="E382" s="1047"/>
      <c r="F382" s="1046"/>
      <c r="G382" s="1044"/>
      <c r="H382" s="1045"/>
      <c r="I382" s="1047"/>
      <c r="J382" s="1046"/>
      <c r="K382" s="1044"/>
      <c r="L382" s="1045"/>
      <c r="M382" s="369"/>
    </row>
    <row r="383" spans="1:13" x14ac:dyDescent="0.25">
      <c r="A383" s="1164">
        <f t="shared" si="109"/>
        <v>0</v>
      </c>
      <c r="B383" s="293"/>
      <c r="C383" s="1044"/>
      <c r="D383" s="1044"/>
      <c r="E383" s="1047"/>
      <c r="F383" s="1046"/>
      <c r="G383" s="1044"/>
      <c r="H383" s="1045"/>
      <c r="I383" s="1047"/>
      <c r="J383" s="1046"/>
      <c r="K383" s="1044"/>
      <c r="L383" s="1045"/>
      <c r="M383" s="369"/>
    </row>
    <row r="384" spans="1:13" ht="15" customHeight="1" x14ac:dyDescent="0.25">
      <c r="A384" s="1164" t="str">
        <f t="shared" si="109"/>
        <v>Vote 11 - 560 SANITATION SERVICES</v>
      </c>
      <c r="B384" s="293"/>
      <c r="C384" s="971">
        <f t="shared" ref="C384:L384" si="112">SUM(C385:C394)</f>
        <v>0</v>
      </c>
      <c r="D384" s="971">
        <f t="shared" si="112"/>
        <v>0</v>
      </c>
      <c r="E384" s="972">
        <f t="shared" si="112"/>
        <v>0</v>
      </c>
      <c r="F384" s="973">
        <f t="shared" si="112"/>
        <v>0</v>
      </c>
      <c r="G384" s="971">
        <f t="shared" si="112"/>
        <v>0</v>
      </c>
      <c r="H384" s="972">
        <f t="shared" si="112"/>
        <v>0</v>
      </c>
      <c r="I384" s="974">
        <f t="shared" si="112"/>
        <v>0</v>
      </c>
      <c r="J384" s="973">
        <f t="shared" si="112"/>
        <v>0</v>
      </c>
      <c r="K384" s="971">
        <f t="shared" si="112"/>
        <v>0</v>
      </c>
      <c r="L384" s="972">
        <f t="shared" si="112"/>
        <v>0</v>
      </c>
      <c r="M384" s="369"/>
    </row>
    <row r="385" spans="1:13" x14ac:dyDescent="0.25">
      <c r="A385" s="1164" t="str">
        <f t="shared" si="109"/>
        <v>11.1 - [Name of sub-vote]</v>
      </c>
      <c r="B385" s="293"/>
      <c r="C385" s="1044"/>
      <c r="D385" s="1044"/>
      <c r="E385" s="1047"/>
      <c r="F385" s="1046"/>
      <c r="G385" s="1044"/>
      <c r="H385" s="1045"/>
      <c r="I385" s="1047"/>
      <c r="J385" s="1046"/>
      <c r="K385" s="1044"/>
      <c r="L385" s="1045"/>
      <c r="M385" s="369"/>
    </row>
    <row r="386" spans="1:13" x14ac:dyDescent="0.25">
      <c r="A386" s="1164">
        <f t="shared" si="109"/>
        <v>0</v>
      </c>
      <c r="B386" s="293"/>
      <c r="C386" s="1044"/>
      <c r="D386" s="1044"/>
      <c r="E386" s="1047"/>
      <c r="F386" s="1046"/>
      <c r="G386" s="1044"/>
      <c r="H386" s="1045"/>
      <c r="I386" s="1047"/>
      <c r="J386" s="1046"/>
      <c r="K386" s="1044"/>
      <c r="L386" s="1045"/>
      <c r="M386" s="369"/>
    </row>
    <row r="387" spans="1:13" x14ac:dyDescent="0.25">
      <c r="A387" s="1164">
        <f t="shared" si="109"/>
        <v>0</v>
      </c>
      <c r="B387" s="293"/>
      <c r="C387" s="1044"/>
      <c r="D387" s="1044"/>
      <c r="E387" s="1047"/>
      <c r="F387" s="1046"/>
      <c r="G387" s="1044"/>
      <c r="H387" s="1045"/>
      <c r="I387" s="1047"/>
      <c r="J387" s="1046"/>
      <c r="K387" s="1044"/>
      <c r="L387" s="1045"/>
      <c r="M387" s="369"/>
    </row>
    <row r="388" spans="1:13" x14ac:dyDescent="0.25">
      <c r="A388" s="1164">
        <f t="shared" si="109"/>
        <v>0</v>
      </c>
      <c r="B388" s="293"/>
      <c r="C388" s="1044"/>
      <c r="D388" s="1044"/>
      <c r="E388" s="1047"/>
      <c r="F388" s="1046"/>
      <c r="G388" s="1044"/>
      <c r="H388" s="1045"/>
      <c r="I388" s="1047"/>
      <c r="J388" s="1046"/>
      <c r="K388" s="1044"/>
      <c r="L388" s="1045"/>
      <c r="M388" s="369"/>
    </row>
    <row r="389" spans="1:13" x14ac:dyDescent="0.25">
      <c r="A389" s="1164">
        <f t="shared" si="109"/>
        <v>0</v>
      </c>
      <c r="B389" s="293"/>
      <c r="C389" s="1044"/>
      <c r="D389" s="1044"/>
      <c r="E389" s="1047"/>
      <c r="F389" s="1046"/>
      <c r="G389" s="1044"/>
      <c r="H389" s="1045"/>
      <c r="I389" s="1047"/>
      <c r="J389" s="1046"/>
      <c r="K389" s="1044"/>
      <c r="L389" s="1045"/>
      <c r="M389" s="369"/>
    </row>
    <row r="390" spans="1:13" x14ac:dyDescent="0.25">
      <c r="A390" s="1164">
        <f t="shared" si="109"/>
        <v>0</v>
      </c>
      <c r="B390" s="293"/>
      <c r="C390" s="1044"/>
      <c r="D390" s="1044"/>
      <c r="E390" s="1047"/>
      <c r="F390" s="1046"/>
      <c r="G390" s="1044"/>
      <c r="H390" s="1045"/>
      <c r="I390" s="1047"/>
      <c r="J390" s="1046"/>
      <c r="K390" s="1044"/>
      <c r="L390" s="1045"/>
      <c r="M390" s="369"/>
    </row>
    <row r="391" spans="1:13" x14ac:dyDescent="0.25">
      <c r="A391" s="1164">
        <f t="shared" si="109"/>
        <v>0</v>
      </c>
      <c r="B391" s="293"/>
      <c r="C391" s="1044"/>
      <c r="D391" s="1044"/>
      <c r="E391" s="1047"/>
      <c r="F391" s="1046"/>
      <c r="G391" s="1044"/>
      <c r="H391" s="1045"/>
      <c r="I391" s="1047"/>
      <c r="J391" s="1046"/>
      <c r="K391" s="1044"/>
      <c r="L391" s="1045"/>
      <c r="M391" s="369"/>
    </row>
    <row r="392" spans="1:13" x14ac:dyDescent="0.25">
      <c r="A392" s="1164">
        <f t="shared" si="109"/>
        <v>0</v>
      </c>
      <c r="B392" s="293"/>
      <c r="C392" s="1044"/>
      <c r="D392" s="1044"/>
      <c r="E392" s="1047"/>
      <c r="F392" s="1046"/>
      <c r="G392" s="1044"/>
      <c r="H392" s="1045"/>
      <c r="I392" s="1047"/>
      <c r="J392" s="1046"/>
      <c r="K392" s="1044"/>
      <c r="L392" s="1045"/>
      <c r="M392" s="369"/>
    </row>
    <row r="393" spans="1:13" x14ac:dyDescent="0.25">
      <c r="A393" s="1164">
        <f t="shared" si="109"/>
        <v>0</v>
      </c>
      <c r="B393" s="293"/>
      <c r="C393" s="1044"/>
      <c r="D393" s="1044"/>
      <c r="E393" s="1047"/>
      <c r="F393" s="1046"/>
      <c r="G393" s="1044"/>
      <c r="H393" s="1045"/>
      <c r="I393" s="1047"/>
      <c r="J393" s="1046"/>
      <c r="K393" s="1044"/>
      <c r="L393" s="1045"/>
      <c r="M393" s="369"/>
    </row>
    <row r="394" spans="1:13" x14ac:dyDescent="0.25">
      <c r="A394" s="1164">
        <f t="shared" si="109"/>
        <v>0</v>
      </c>
      <c r="B394" s="293"/>
      <c r="C394" s="1044"/>
      <c r="D394" s="1044"/>
      <c r="E394" s="1047"/>
      <c r="F394" s="1046"/>
      <c r="G394" s="1044"/>
      <c r="H394" s="1045"/>
      <c r="I394" s="1047"/>
      <c r="J394" s="1046"/>
      <c r="K394" s="1044"/>
      <c r="L394" s="1045"/>
      <c r="M394" s="369"/>
    </row>
    <row r="395" spans="1:13" ht="15" customHeight="1" x14ac:dyDescent="0.25">
      <c r="A395" s="1164" t="str">
        <f t="shared" si="109"/>
        <v>Vote 12 - 106 CORPORATE SERVICES</v>
      </c>
      <c r="B395" s="293"/>
      <c r="C395" s="971">
        <f t="shared" ref="C395:L395" si="113">SUM(C396:C403)</f>
        <v>0</v>
      </c>
      <c r="D395" s="971">
        <f t="shared" si="113"/>
        <v>63950.899999999994</v>
      </c>
      <c r="E395" s="972">
        <f t="shared" si="113"/>
        <v>711498</v>
      </c>
      <c r="F395" s="973">
        <f t="shared" si="113"/>
        <v>0</v>
      </c>
      <c r="G395" s="971">
        <f t="shared" si="113"/>
        <v>0</v>
      </c>
      <c r="H395" s="972">
        <f t="shared" si="113"/>
        <v>0</v>
      </c>
      <c r="I395" s="974">
        <f t="shared" si="113"/>
        <v>0</v>
      </c>
      <c r="J395" s="973">
        <f t="shared" si="113"/>
        <v>0</v>
      </c>
      <c r="K395" s="971">
        <f t="shared" si="113"/>
        <v>0</v>
      </c>
      <c r="L395" s="972">
        <f t="shared" si="113"/>
        <v>0</v>
      </c>
      <c r="M395" s="369"/>
    </row>
    <row r="396" spans="1:13" x14ac:dyDescent="0.25">
      <c r="A396" s="1164" t="s">
        <v>2768</v>
      </c>
      <c r="B396" s="293"/>
      <c r="C396" s="1044"/>
      <c r="D396" s="1044">
        <v>58270.2</v>
      </c>
      <c r="E396" s="1047">
        <v>152226</v>
      </c>
      <c r="F396" s="1046"/>
      <c r="G396" s="1044"/>
      <c r="H396" s="1045"/>
      <c r="I396" s="1047"/>
      <c r="J396" s="1046"/>
      <c r="K396" s="1044"/>
      <c r="L396" s="1045"/>
      <c r="M396" s="369"/>
    </row>
    <row r="397" spans="1:13" x14ac:dyDescent="0.25">
      <c r="A397" s="1164" t="s">
        <v>2769</v>
      </c>
      <c r="B397" s="293"/>
      <c r="C397" s="1044"/>
      <c r="D397" s="1044">
        <v>5680.7</v>
      </c>
      <c r="E397" s="1047">
        <v>559272</v>
      </c>
      <c r="F397" s="1046"/>
      <c r="G397" s="1044"/>
      <c r="H397" s="1045"/>
      <c r="I397" s="1047"/>
      <c r="J397" s="1046"/>
      <c r="K397" s="1044"/>
      <c r="L397" s="1045"/>
      <c r="M397" s="369"/>
    </row>
    <row r="398" spans="1:13" x14ac:dyDescent="0.25">
      <c r="A398" s="1164">
        <f t="shared" ref="A398:A415" si="114">A132</f>
        <v>0</v>
      </c>
      <c r="B398" s="293"/>
      <c r="C398" s="1044"/>
      <c r="D398" s="1044"/>
      <c r="E398" s="1047"/>
      <c r="F398" s="1046"/>
      <c r="G398" s="1044"/>
      <c r="H398" s="1045"/>
      <c r="I398" s="1047"/>
      <c r="J398" s="1046"/>
      <c r="K398" s="1044"/>
      <c r="L398" s="1045"/>
      <c r="M398" s="369"/>
    </row>
    <row r="399" spans="1:13" x14ac:dyDescent="0.25">
      <c r="A399" s="1164">
        <f t="shared" si="114"/>
        <v>0</v>
      </c>
      <c r="B399" s="293"/>
      <c r="C399" s="1044"/>
      <c r="D399" s="1044"/>
      <c r="E399" s="1047"/>
      <c r="F399" s="1046"/>
      <c r="G399" s="1044"/>
      <c r="H399" s="1045"/>
      <c r="I399" s="1047"/>
      <c r="J399" s="1046"/>
      <c r="K399" s="1044"/>
      <c r="L399" s="1045"/>
      <c r="M399" s="369"/>
    </row>
    <row r="400" spans="1:13" x14ac:dyDescent="0.25">
      <c r="A400" s="1164">
        <f t="shared" si="114"/>
        <v>0</v>
      </c>
      <c r="B400" s="293"/>
      <c r="C400" s="1044"/>
      <c r="D400" s="1044"/>
      <c r="E400" s="1047"/>
      <c r="F400" s="1046"/>
      <c r="G400" s="1044"/>
      <c r="H400" s="1045"/>
      <c r="I400" s="1047"/>
      <c r="J400" s="1046"/>
      <c r="K400" s="1044"/>
      <c r="L400" s="1045"/>
      <c r="M400" s="369"/>
    </row>
    <row r="401" spans="1:13" x14ac:dyDescent="0.25">
      <c r="A401" s="1164">
        <f t="shared" si="114"/>
        <v>0</v>
      </c>
      <c r="B401" s="293"/>
      <c r="C401" s="1044"/>
      <c r="D401" s="1044"/>
      <c r="E401" s="1047"/>
      <c r="F401" s="1046"/>
      <c r="G401" s="1044"/>
      <c r="H401" s="1045"/>
      <c r="I401" s="1047"/>
      <c r="J401" s="1046"/>
      <c r="K401" s="1044"/>
      <c r="L401" s="1045"/>
      <c r="M401" s="369"/>
    </row>
    <row r="402" spans="1:13" x14ac:dyDescent="0.25">
      <c r="A402" s="1164">
        <f t="shared" si="114"/>
        <v>0</v>
      </c>
      <c r="B402" s="293"/>
      <c r="C402" s="1044"/>
      <c r="D402" s="1044"/>
      <c r="E402" s="1047"/>
      <c r="F402" s="1046"/>
      <c r="G402" s="1044"/>
      <c r="H402" s="1045"/>
      <c r="I402" s="1047"/>
      <c r="J402" s="1046"/>
      <c r="K402" s="1044"/>
      <c r="L402" s="1045"/>
      <c r="M402" s="369"/>
    </row>
    <row r="403" spans="1:13" x14ac:dyDescent="0.25">
      <c r="A403" s="1164">
        <f t="shared" si="114"/>
        <v>0</v>
      </c>
      <c r="B403" s="293"/>
      <c r="C403" s="1044"/>
      <c r="D403" s="1044"/>
      <c r="E403" s="1047"/>
      <c r="F403" s="1046"/>
      <c r="G403" s="1044"/>
      <c r="H403" s="1045"/>
      <c r="I403" s="1047"/>
      <c r="J403" s="1046"/>
      <c r="K403" s="1044"/>
      <c r="L403" s="1045"/>
      <c r="M403" s="369"/>
    </row>
    <row r="404" spans="1:13" ht="15" customHeight="1" x14ac:dyDescent="0.25">
      <c r="A404" s="1164" t="str">
        <f t="shared" si="114"/>
        <v>Vote 13 - 107 COMMUNITY SERVICES</v>
      </c>
      <c r="B404" s="293"/>
      <c r="C404" s="971">
        <f t="shared" ref="C404:L404" si="115">SUM(C405:C414)</f>
        <v>0</v>
      </c>
      <c r="D404" s="971">
        <f t="shared" si="115"/>
        <v>0</v>
      </c>
      <c r="E404" s="972">
        <f t="shared" si="115"/>
        <v>0</v>
      </c>
      <c r="F404" s="973">
        <f t="shared" si="115"/>
        <v>0</v>
      </c>
      <c r="G404" s="971">
        <f t="shared" si="115"/>
        <v>0</v>
      </c>
      <c r="H404" s="972">
        <f t="shared" si="115"/>
        <v>0</v>
      </c>
      <c r="I404" s="974">
        <f t="shared" si="115"/>
        <v>0</v>
      </c>
      <c r="J404" s="973">
        <f t="shared" si="115"/>
        <v>0</v>
      </c>
      <c r="K404" s="971">
        <f t="shared" si="115"/>
        <v>0</v>
      </c>
      <c r="L404" s="972">
        <f t="shared" si="115"/>
        <v>0</v>
      </c>
      <c r="M404" s="369"/>
    </row>
    <row r="405" spans="1:13" x14ac:dyDescent="0.25">
      <c r="A405" s="1164" t="str">
        <f t="shared" si="114"/>
        <v>13.1 - [Name of sub-vote]</v>
      </c>
      <c r="B405" s="293"/>
      <c r="C405" s="1044"/>
      <c r="D405" s="1044"/>
      <c r="E405" s="1047"/>
      <c r="F405" s="1046"/>
      <c r="G405" s="1044"/>
      <c r="H405" s="1045"/>
      <c r="I405" s="1047"/>
      <c r="J405" s="1046"/>
      <c r="K405" s="1044"/>
      <c r="L405" s="1045"/>
      <c r="M405" s="369"/>
    </row>
    <row r="406" spans="1:13" x14ac:dyDescent="0.25">
      <c r="A406" s="1164">
        <f t="shared" si="114"/>
        <v>0</v>
      </c>
      <c r="B406" s="293"/>
      <c r="C406" s="1044"/>
      <c r="D406" s="1044"/>
      <c r="E406" s="1047"/>
      <c r="F406" s="1046"/>
      <c r="G406" s="1044"/>
      <c r="H406" s="1045"/>
      <c r="I406" s="1047"/>
      <c r="J406" s="1046"/>
      <c r="K406" s="1044"/>
      <c r="L406" s="1045"/>
      <c r="M406" s="369"/>
    </row>
    <row r="407" spans="1:13" x14ac:dyDescent="0.25">
      <c r="A407" s="1164">
        <f t="shared" si="114"/>
        <v>0</v>
      </c>
      <c r="B407" s="293"/>
      <c r="C407" s="1044"/>
      <c r="D407" s="1044"/>
      <c r="E407" s="1047"/>
      <c r="F407" s="1046"/>
      <c r="G407" s="1044"/>
      <c r="H407" s="1045"/>
      <c r="I407" s="1047"/>
      <c r="J407" s="1046"/>
      <c r="K407" s="1044"/>
      <c r="L407" s="1045"/>
      <c r="M407" s="369"/>
    </row>
    <row r="408" spans="1:13" x14ac:dyDescent="0.25">
      <c r="A408" s="1164">
        <f t="shared" si="114"/>
        <v>0</v>
      </c>
      <c r="B408" s="293"/>
      <c r="C408" s="1044"/>
      <c r="D408" s="1044"/>
      <c r="E408" s="1047"/>
      <c r="F408" s="1046"/>
      <c r="G408" s="1044"/>
      <c r="H408" s="1045"/>
      <c r="I408" s="1047"/>
      <c r="J408" s="1046"/>
      <c r="K408" s="1044"/>
      <c r="L408" s="1045"/>
      <c r="M408" s="369"/>
    </row>
    <row r="409" spans="1:13" x14ac:dyDescent="0.25">
      <c r="A409" s="1164">
        <f t="shared" si="114"/>
        <v>0</v>
      </c>
      <c r="B409" s="293"/>
      <c r="C409" s="1044"/>
      <c r="D409" s="1044"/>
      <c r="E409" s="1047"/>
      <c r="F409" s="1046"/>
      <c r="G409" s="1044"/>
      <c r="H409" s="1045"/>
      <c r="I409" s="1047"/>
      <c r="J409" s="1046"/>
      <c r="K409" s="1044"/>
      <c r="L409" s="1045"/>
      <c r="M409" s="369"/>
    </row>
    <row r="410" spans="1:13" x14ac:dyDescent="0.25">
      <c r="A410" s="1164">
        <f t="shared" si="114"/>
        <v>0</v>
      </c>
      <c r="B410" s="293"/>
      <c r="C410" s="1044"/>
      <c r="D410" s="1044"/>
      <c r="E410" s="1047"/>
      <c r="F410" s="1046"/>
      <c r="G410" s="1044"/>
      <c r="H410" s="1045"/>
      <c r="I410" s="1047"/>
      <c r="J410" s="1046"/>
      <c r="K410" s="1044"/>
      <c r="L410" s="1045"/>
      <c r="M410" s="369"/>
    </row>
    <row r="411" spans="1:13" x14ac:dyDescent="0.25">
      <c r="A411" s="1164">
        <f t="shared" si="114"/>
        <v>0</v>
      </c>
      <c r="B411" s="293"/>
      <c r="C411" s="1044"/>
      <c r="D411" s="1044"/>
      <c r="E411" s="1047"/>
      <c r="F411" s="1046"/>
      <c r="G411" s="1044"/>
      <c r="H411" s="1045"/>
      <c r="I411" s="1047"/>
      <c r="J411" s="1046"/>
      <c r="K411" s="1044"/>
      <c r="L411" s="1045"/>
      <c r="M411" s="369"/>
    </row>
    <row r="412" spans="1:13" x14ac:dyDescent="0.25">
      <c r="A412" s="1164">
        <f t="shared" si="114"/>
        <v>0</v>
      </c>
      <c r="B412" s="293"/>
      <c r="C412" s="1044"/>
      <c r="D412" s="1044"/>
      <c r="E412" s="1047"/>
      <c r="F412" s="1046"/>
      <c r="G412" s="1044"/>
      <c r="H412" s="1045"/>
      <c r="I412" s="1047"/>
      <c r="J412" s="1046"/>
      <c r="K412" s="1044"/>
      <c r="L412" s="1045"/>
      <c r="M412" s="369"/>
    </row>
    <row r="413" spans="1:13" x14ac:dyDescent="0.25">
      <c r="A413" s="1164">
        <f t="shared" si="114"/>
        <v>0</v>
      </c>
      <c r="B413" s="293"/>
      <c r="C413" s="1044"/>
      <c r="D413" s="1044"/>
      <c r="E413" s="1047"/>
      <c r="F413" s="1046"/>
      <c r="G413" s="1044"/>
      <c r="H413" s="1045"/>
      <c r="I413" s="1047"/>
      <c r="J413" s="1046"/>
      <c r="K413" s="1044"/>
      <c r="L413" s="1045"/>
      <c r="M413" s="369"/>
    </row>
    <row r="414" spans="1:13" x14ac:dyDescent="0.25">
      <c r="A414" s="1164">
        <f t="shared" si="114"/>
        <v>0</v>
      </c>
      <c r="B414" s="293"/>
      <c r="C414" s="1044"/>
      <c r="D414" s="1044"/>
      <c r="E414" s="1047"/>
      <c r="F414" s="1046"/>
      <c r="G414" s="1044"/>
      <c r="H414" s="1045"/>
      <c r="I414" s="1047"/>
      <c r="J414" s="1046"/>
      <c r="K414" s="1044"/>
      <c r="L414" s="1045"/>
      <c r="M414" s="369"/>
    </row>
    <row r="415" spans="1:13" ht="15" customHeight="1" x14ac:dyDescent="0.25">
      <c r="A415" s="1164" t="str">
        <f t="shared" si="114"/>
        <v>Vote 14 - 108 PUBLIC SAFETY &amp; ROADS</v>
      </c>
      <c r="B415" s="293"/>
      <c r="C415" s="971">
        <f t="shared" ref="C415:L415" si="116">SUM(C416:C425)</f>
        <v>0</v>
      </c>
      <c r="D415" s="971">
        <f t="shared" si="116"/>
        <v>213590</v>
      </c>
      <c r="E415" s="972">
        <f t="shared" si="116"/>
        <v>0</v>
      </c>
      <c r="F415" s="973">
        <f t="shared" si="116"/>
        <v>0</v>
      </c>
      <c r="G415" s="971">
        <f t="shared" si="116"/>
        <v>0</v>
      </c>
      <c r="H415" s="972">
        <f t="shared" si="116"/>
        <v>0</v>
      </c>
      <c r="I415" s="974">
        <f t="shared" si="116"/>
        <v>0</v>
      </c>
      <c r="J415" s="973">
        <f t="shared" si="116"/>
        <v>0</v>
      </c>
      <c r="K415" s="971">
        <f t="shared" si="116"/>
        <v>0</v>
      </c>
      <c r="L415" s="972">
        <f t="shared" si="116"/>
        <v>0</v>
      </c>
      <c r="M415" s="369"/>
    </row>
    <row r="416" spans="1:13" x14ac:dyDescent="0.25">
      <c r="A416" s="1164" t="s">
        <v>2767</v>
      </c>
      <c r="B416" s="293"/>
      <c r="C416" s="1044"/>
      <c r="D416" s="1044">
        <v>213590</v>
      </c>
      <c r="E416" s="1047"/>
      <c r="F416" s="1046"/>
      <c r="G416" s="1044"/>
      <c r="H416" s="1045"/>
      <c r="I416" s="1047"/>
      <c r="J416" s="1046"/>
      <c r="K416" s="1044"/>
      <c r="L416" s="1045"/>
      <c r="M416" s="369"/>
    </row>
    <row r="417" spans="1:13" x14ac:dyDescent="0.25">
      <c r="A417" s="1164">
        <f t="shared" ref="A417:A436" si="117">A151</f>
        <v>0</v>
      </c>
      <c r="B417" s="293"/>
      <c r="C417" s="1044"/>
      <c r="D417" s="1044"/>
      <c r="E417" s="1047"/>
      <c r="F417" s="1046"/>
      <c r="G417" s="1044"/>
      <c r="H417" s="1045"/>
      <c r="I417" s="1047"/>
      <c r="J417" s="1046"/>
      <c r="K417" s="1044"/>
      <c r="L417" s="1045"/>
      <c r="M417" s="369"/>
    </row>
    <row r="418" spans="1:13" x14ac:dyDescent="0.25">
      <c r="A418" s="1164">
        <f t="shared" si="117"/>
        <v>0</v>
      </c>
      <c r="B418" s="293"/>
      <c r="C418" s="1044"/>
      <c r="D418" s="1044"/>
      <c r="E418" s="1047"/>
      <c r="F418" s="1046"/>
      <c r="G418" s="1044"/>
      <c r="H418" s="1045"/>
      <c r="I418" s="1047"/>
      <c r="J418" s="1046"/>
      <c r="K418" s="1044"/>
      <c r="L418" s="1045"/>
      <c r="M418" s="369"/>
    </row>
    <row r="419" spans="1:13" x14ac:dyDescent="0.25">
      <c r="A419" s="1164">
        <f t="shared" si="117"/>
        <v>0</v>
      </c>
      <c r="B419" s="293"/>
      <c r="C419" s="1044"/>
      <c r="D419" s="1044"/>
      <c r="E419" s="1047"/>
      <c r="F419" s="1046"/>
      <c r="G419" s="1044"/>
      <c r="H419" s="1045"/>
      <c r="I419" s="1047"/>
      <c r="J419" s="1046"/>
      <c r="K419" s="1044"/>
      <c r="L419" s="1045"/>
      <c r="M419" s="369"/>
    </row>
    <row r="420" spans="1:13" x14ac:dyDescent="0.25">
      <c r="A420" s="1164">
        <f t="shared" si="117"/>
        <v>0</v>
      </c>
      <c r="B420" s="293"/>
      <c r="C420" s="1044"/>
      <c r="D420" s="1044"/>
      <c r="E420" s="1047"/>
      <c r="F420" s="1046"/>
      <c r="G420" s="1044"/>
      <c r="H420" s="1045"/>
      <c r="I420" s="1047"/>
      <c r="J420" s="1046"/>
      <c r="K420" s="1044"/>
      <c r="L420" s="1045"/>
      <c r="M420" s="369"/>
    </row>
    <row r="421" spans="1:13" x14ac:dyDescent="0.25">
      <c r="A421" s="1164">
        <f t="shared" si="117"/>
        <v>0</v>
      </c>
      <c r="B421" s="293"/>
      <c r="C421" s="1044"/>
      <c r="D421" s="1044"/>
      <c r="E421" s="1047"/>
      <c r="F421" s="1046"/>
      <c r="G421" s="1044"/>
      <c r="H421" s="1045"/>
      <c r="I421" s="1047"/>
      <c r="J421" s="1046"/>
      <c r="K421" s="1044"/>
      <c r="L421" s="1045"/>
      <c r="M421" s="369"/>
    </row>
    <row r="422" spans="1:13" x14ac:dyDescent="0.25">
      <c r="A422" s="1164">
        <f t="shared" si="117"/>
        <v>0</v>
      </c>
      <c r="B422" s="293"/>
      <c r="C422" s="1044"/>
      <c r="D422" s="1044"/>
      <c r="E422" s="1047"/>
      <c r="F422" s="1046"/>
      <c r="G422" s="1044"/>
      <c r="H422" s="1045"/>
      <c r="I422" s="1047"/>
      <c r="J422" s="1046"/>
      <c r="K422" s="1044"/>
      <c r="L422" s="1045"/>
      <c r="M422" s="369"/>
    </row>
    <row r="423" spans="1:13" x14ac:dyDescent="0.25">
      <c r="A423" s="1164">
        <f t="shared" si="117"/>
        <v>0</v>
      </c>
      <c r="B423" s="293"/>
      <c r="C423" s="1044"/>
      <c r="D423" s="1044"/>
      <c r="E423" s="1047"/>
      <c r="F423" s="1046"/>
      <c r="G423" s="1044"/>
      <c r="H423" s="1045"/>
      <c r="I423" s="1047"/>
      <c r="J423" s="1046"/>
      <c r="K423" s="1044"/>
      <c r="L423" s="1045"/>
      <c r="M423" s="369"/>
    </row>
    <row r="424" spans="1:13" x14ac:dyDescent="0.25">
      <c r="A424" s="1164">
        <f t="shared" si="117"/>
        <v>0</v>
      </c>
      <c r="B424" s="293"/>
      <c r="C424" s="1044"/>
      <c r="D424" s="1044"/>
      <c r="E424" s="1047"/>
      <c r="F424" s="1046"/>
      <c r="G424" s="1044"/>
      <c r="H424" s="1045"/>
      <c r="I424" s="1047"/>
      <c r="J424" s="1046"/>
      <c r="K424" s="1044"/>
      <c r="L424" s="1045"/>
      <c r="M424" s="369"/>
    </row>
    <row r="425" spans="1:13" x14ac:dyDescent="0.25">
      <c r="A425" s="1164">
        <f t="shared" si="117"/>
        <v>0</v>
      </c>
      <c r="B425" s="293"/>
      <c r="C425" s="1044"/>
      <c r="D425" s="1044"/>
      <c r="E425" s="1047"/>
      <c r="F425" s="1046"/>
      <c r="G425" s="1044"/>
      <c r="H425" s="1045"/>
      <c r="I425" s="1047"/>
      <c r="J425" s="1046"/>
      <c r="K425" s="1044"/>
      <c r="L425" s="1045"/>
      <c r="M425" s="369"/>
    </row>
    <row r="426" spans="1:13" ht="15" customHeight="1" x14ac:dyDescent="0.25">
      <c r="A426" s="1164" t="str">
        <f t="shared" si="117"/>
        <v>Vote 15 - 300 SPORTS,RECREATION ARTS,CULTURE AND PROPERTY SERVICES</v>
      </c>
      <c r="B426" s="293"/>
      <c r="C426" s="971">
        <f t="shared" ref="C426:L426" si="118">SUM(C427:C436)</f>
        <v>0</v>
      </c>
      <c r="D426" s="971">
        <f t="shared" si="118"/>
        <v>0</v>
      </c>
      <c r="E426" s="972">
        <f t="shared" si="118"/>
        <v>0</v>
      </c>
      <c r="F426" s="973">
        <f t="shared" si="118"/>
        <v>0</v>
      </c>
      <c r="G426" s="971">
        <f t="shared" si="118"/>
        <v>0</v>
      </c>
      <c r="H426" s="972">
        <f t="shared" si="118"/>
        <v>0</v>
      </c>
      <c r="I426" s="974">
        <f t="shared" si="118"/>
        <v>0</v>
      </c>
      <c r="J426" s="973">
        <f t="shared" si="118"/>
        <v>0</v>
      </c>
      <c r="K426" s="971">
        <f t="shared" si="118"/>
        <v>0</v>
      </c>
      <c r="L426" s="972">
        <f t="shared" si="118"/>
        <v>0</v>
      </c>
      <c r="M426" s="369"/>
    </row>
    <row r="427" spans="1:13" x14ac:dyDescent="0.25">
      <c r="A427" s="1164" t="str">
        <f t="shared" si="117"/>
        <v>15.1 - [Name of sub-vote]</v>
      </c>
      <c r="B427" s="293"/>
      <c r="C427" s="1044"/>
      <c r="D427" s="1044"/>
      <c r="E427" s="1047"/>
      <c r="F427" s="1046"/>
      <c r="G427" s="1044"/>
      <c r="H427" s="1045"/>
      <c r="I427" s="1047"/>
      <c r="J427" s="1046"/>
      <c r="K427" s="1044"/>
      <c r="L427" s="1045"/>
      <c r="M427" s="369"/>
    </row>
    <row r="428" spans="1:13" x14ac:dyDescent="0.25">
      <c r="A428" s="1164">
        <f t="shared" si="117"/>
        <v>0</v>
      </c>
      <c r="B428" s="293"/>
      <c r="C428" s="1044"/>
      <c r="D428" s="1044"/>
      <c r="E428" s="1047"/>
      <c r="F428" s="1046"/>
      <c r="G428" s="1044"/>
      <c r="H428" s="1045"/>
      <c r="I428" s="1047"/>
      <c r="J428" s="1046"/>
      <c r="K428" s="1044"/>
      <c r="L428" s="1045"/>
      <c r="M428" s="369"/>
    </row>
    <row r="429" spans="1:13" x14ac:dyDescent="0.25">
      <c r="A429" s="1164">
        <f t="shared" si="117"/>
        <v>0</v>
      </c>
      <c r="B429" s="293"/>
      <c r="C429" s="1044"/>
      <c r="D429" s="1044"/>
      <c r="E429" s="1047"/>
      <c r="F429" s="1046"/>
      <c r="G429" s="1044"/>
      <c r="H429" s="1045"/>
      <c r="I429" s="1047"/>
      <c r="J429" s="1046"/>
      <c r="K429" s="1044"/>
      <c r="L429" s="1045"/>
      <c r="M429" s="369"/>
    </row>
    <row r="430" spans="1:13" x14ac:dyDescent="0.25">
      <c r="A430" s="1164">
        <f t="shared" si="117"/>
        <v>0</v>
      </c>
      <c r="B430" s="293"/>
      <c r="C430" s="1044"/>
      <c r="D430" s="1044"/>
      <c r="E430" s="1047"/>
      <c r="F430" s="1046"/>
      <c r="G430" s="1044"/>
      <c r="H430" s="1045"/>
      <c r="I430" s="1047"/>
      <c r="J430" s="1046"/>
      <c r="K430" s="1044"/>
      <c r="L430" s="1045"/>
      <c r="M430" s="369"/>
    </row>
    <row r="431" spans="1:13" x14ac:dyDescent="0.25">
      <c r="A431" s="1164">
        <f t="shared" si="117"/>
        <v>0</v>
      </c>
      <c r="B431" s="293"/>
      <c r="C431" s="1044"/>
      <c r="D431" s="1044"/>
      <c r="E431" s="1047"/>
      <c r="F431" s="1046"/>
      <c r="G431" s="1044"/>
      <c r="H431" s="1045"/>
      <c r="I431" s="1047"/>
      <c r="J431" s="1046"/>
      <c r="K431" s="1044"/>
      <c r="L431" s="1045"/>
      <c r="M431" s="369"/>
    </row>
    <row r="432" spans="1:13" x14ac:dyDescent="0.25">
      <c r="A432" s="1164">
        <f t="shared" si="117"/>
        <v>0</v>
      </c>
      <c r="B432" s="293"/>
      <c r="C432" s="1044"/>
      <c r="D432" s="1044"/>
      <c r="E432" s="1047"/>
      <c r="F432" s="1046"/>
      <c r="G432" s="1044"/>
      <c r="H432" s="1045"/>
      <c r="I432" s="1047"/>
      <c r="J432" s="1046"/>
      <c r="K432" s="1044"/>
      <c r="L432" s="1045"/>
      <c r="M432" s="369"/>
    </row>
    <row r="433" spans="1:13" x14ac:dyDescent="0.25">
      <c r="A433" s="1164">
        <f t="shared" si="117"/>
        <v>0</v>
      </c>
      <c r="B433" s="293"/>
      <c r="C433" s="1044"/>
      <c r="D433" s="1044"/>
      <c r="E433" s="1047"/>
      <c r="F433" s="1046"/>
      <c r="G433" s="1044"/>
      <c r="H433" s="1045"/>
      <c r="I433" s="1047"/>
      <c r="J433" s="1046"/>
      <c r="K433" s="1044"/>
      <c r="L433" s="1045"/>
      <c r="M433" s="369"/>
    </row>
    <row r="434" spans="1:13" x14ac:dyDescent="0.25">
      <c r="A434" s="1164">
        <f t="shared" si="117"/>
        <v>0</v>
      </c>
      <c r="B434" s="293"/>
      <c r="C434" s="1044"/>
      <c r="D434" s="1044"/>
      <c r="E434" s="1047"/>
      <c r="F434" s="1046"/>
      <c r="G434" s="1044"/>
      <c r="H434" s="1045"/>
      <c r="I434" s="1047"/>
      <c r="J434" s="1046"/>
      <c r="K434" s="1044"/>
      <c r="L434" s="1045"/>
      <c r="M434" s="369"/>
    </row>
    <row r="435" spans="1:13" x14ac:dyDescent="0.25">
      <c r="A435" s="1164">
        <f t="shared" si="117"/>
        <v>0</v>
      </c>
      <c r="B435" s="293"/>
      <c r="C435" s="1044"/>
      <c r="D435" s="1044"/>
      <c r="E435" s="1047"/>
      <c r="F435" s="1046"/>
      <c r="G435" s="1044"/>
      <c r="H435" s="1045"/>
      <c r="I435" s="1047"/>
      <c r="J435" s="1046"/>
      <c r="K435" s="1044"/>
      <c r="L435" s="1045"/>
      <c r="M435" s="369"/>
    </row>
    <row r="436" spans="1:13" x14ac:dyDescent="0.25">
      <c r="A436" s="1164">
        <f t="shared" si="117"/>
        <v>0</v>
      </c>
      <c r="B436" s="293"/>
      <c r="C436" s="1044"/>
      <c r="D436" s="1044"/>
      <c r="E436" s="1047"/>
      <c r="F436" s="1046"/>
      <c r="G436" s="1044"/>
      <c r="H436" s="1045"/>
      <c r="I436" s="1047"/>
      <c r="J436" s="1046"/>
      <c r="K436" s="1044"/>
      <c r="L436" s="1045"/>
      <c r="M436" s="369"/>
    </row>
    <row r="437" spans="1:13" x14ac:dyDescent="0.25">
      <c r="A437" s="326" t="s">
        <v>1317</v>
      </c>
      <c r="B437" s="293"/>
      <c r="C437" s="198">
        <f t="shared" ref="C437:L437" si="119">C175+C186+C197+C208+C219+C329+C340+C351+C362+C373+C384+C395+C404+C415+C426</f>
        <v>44966000</v>
      </c>
      <c r="D437" s="198">
        <f t="shared" si="119"/>
        <v>16769034.030000001</v>
      </c>
      <c r="E437" s="1563">
        <f t="shared" si="119"/>
        <v>113650291.00000001</v>
      </c>
      <c r="F437" s="1560">
        <f t="shared" si="119"/>
        <v>110819751.63</v>
      </c>
      <c r="G437" s="198">
        <f t="shared" si="119"/>
        <v>111340502.91000003</v>
      </c>
      <c r="H437" s="1563">
        <f t="shared" si="119"/>
        <v>111340502.91000003</v>
      </c>
      <c r="I437" s="1564">
        <f t="shared" si="119"/>
        <v>17831558.759999998</v>
      </c>
      <c r="J437" s="1560">
        <f t="shared" si="119"/>
        <v>116339135</v>
      </c>
      <c r="K437" s="198">
        <f t="shared" si="119"/>
        <v>123203143.96500003</v>
      </c>
      <c r="L437" s="198">
        <f t="shared" si="119"/>
        <v>130102520.02704008</v>
      </c>
      <c r="M437" s="369"/>
    </row>
    <row r="438" spans="1:13" x14ac:dyDescent="0.25">
      <c r="A438" s="1541" t="s">
        <v>598</v>
      </c>
      <c r="B438" s="1270"/>
      <c r="C438" s="1271">
        <f t="shared" ref="C438:L438" si="120">C171+C437</f>
        <v>44966000</v>
      </c>
      <c r="D438" s="1271">
        <f t="shared" si="120"/>
        <v>16769034.030000001</v>
      </c>
      <c r="E438" s="1272">
        <f t="shared" si="120"/>
        <v>113650291.00000001</v>
      </c>
      <c r="F438" s="1273">
        <f t="shared" si="120"/>
        <v>110819751.63</v>
      </c>
      <c r="G438" s="1274">
        <f t="shared" si="120"/>
        <v>111340502.91000003</v>
      </c>
      <c r="H438" s="1275">
        <f t="shared" si="120"/>
        <v>111340502.91000003</v>
      </c>
      <c r="I438" s="1272">
        <f t="shared" si="120"/>
        <v>17831558.759999998</v>
      </c>
      <c r="J438" s="1273">
        <f t="shared" si="120"/>
        <v>116339135</v>
      </c>
      <c r="K438" s="1274">
        <f t="shared" si="120"/>
        <v>123203143.96500003</v>
      </c>
      <c r="L438" s="1275">
        <f t="shared" si="120"/>
        <v>130102520.02704008</v>
      </c>
      <c r="M438" s="369"/>
    </row>
    <row r="439" spans="1:13" x14ac:dyDescent="0.25">
      <c r="M439" s="369"/>
    </row>
  </sheetData>
  <dataConsolidate/>
  <customSheetViews>
    <customSheetView guid="{F50C5479-5CC4-4FD7-8319-543D29E829F0}" showGridLines="0" zeroValues="0" fitToPage="1" topLeftCell="A184">
      <selection activeCell="R56" sqref="R56"/>
      <pageMargins left="0.36" right="0.14000000000000001" top="0.78" bottom="0.59" header="0.5" footer="0.41"/>
      <pageSetup paperSize="9" scale="37" orientation="portrait" r:id="rId1"/>
      <headerFooter alignWithMargins="0"/>
    </customSheetView>
  </customSheetViews>
  <mergeCells count="5">
    <mergeCell ref="F2:I2"/>
    <mergeCell ref="J2:L2"/>
    <mergeCell ref="N2:Q2"/>
    <mergeCell ref="R2:U2"/>
    <mergeCell ref="V2:X2"/>
  </mergeCells>
  <phoneticPr fontId="2" type="noConversion"/>
  <pageMargins left="0.35433070866141736" right="0.15748031496062992" top="0.78740157480314965" bottom="0.59055118110236227" header="0.51181102362204722" footer="0.39370078740157483"/>
  <pageSetup paperSize="9" scale="70" orientation="landscape" r:id="rId2"/>
  <headerFooter alignWithMargins="0"/>
  <ignoredErrors>
    <ignoredError sqref="J17:L17 J28:L28 J39:L39 J50:L50 J61:L61 J72:L72 J83:L83 J94:L94 J105:L105 J116:L116 J127:L127 J138:L138 J149:L149 J160:L160 Q17 U17 Q28 Q160 U28 U39 Q39 Q50 U50 Q61 U61 Q72 U72 Q83 U83 Q94 U94 Q105 U105 Q116 U116 Q127 U127 Q138 U138 Q149 U149 U16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9CCFF"/>
    <pageSetUpPr fitToPage="1"/>
  </sheetPr>
  <dimension ref="A1:O90"/>
  <sheetViews>
    <sheetView showGridLines="0" zoomScaleNormal="100" workbookViewId="0">
      <pane xSplit="2" ySplit="3" topLeftCell="C32" activePane="bottomRight" state="frozen"/>
      <selection activeCell="U54" sqref="U54"/>
      <selection pane="topRight" activeCell="U54" sqref="U54"/>
      <selection pane="bottomLeft" activeCell="U54" sqref="U54"/>
      <selection pane="bottomRight" activeCell="J45" sqref="J45:L45"/>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"&amp;Approve6</f>
        <v>MP315 Thembisile Hani - Table A6 Budgeted Financial Position</v>
      </c>
      <c r="B1" s="147"/>
      <c r="C1" s="147"/>
      <c r="D1" s="147"/>
      <c r="E1" s="147"/>
      <c r="F1" s="147"/>
      <c r="G1" s="147"/>
      <c r="H1" s="147"/>
      <c r="I1" s="147"/>
      <c r="J1" s="147"/>
      <c r="K1" s="147"/>
      <c r="L1" s="147"/>
    </row>
    <row r="2" spans="1:12" ht="28.5" customHeight="1" x14ac:dyDescent="0.25">
      <c r="A2" s="970" t="str">
        <f>desc</f>
        <v>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2" ht="25.5" x14ac:dyDescent="0.25">
      <c r="A3" s="180" t="s">
        <v>662</v>
      </c>
      <c r="B3" s="985"/>
      <c r="C3" s="389" t="str">
        <f>Head5</f>
        <v>Audited Outcome</v>
      </c>
      <c r="D3" s="389" t="str">
        <f>Head5</f>
        <v>Audited Outcome</v>
      </c>
      <c r="E3" s="390" t="str">
        <f>Head5</f>
        <v>Audited Outcome</v>
      </c>
      <c r="F3" s="299" t="str">
        <f>Head6</f>
        <v>Original Budget</v>
      </c>
      <c r="G3" s="389" t="str">
        <f>Head7</f>
        <v>Adjusted Budget</v>
      </c>
      <c r="H3" s="390" t="str">
        <f>Head8</f>
        <v>Full Year Forecast</v>
      </c>
      <c r="I3" s="388" t="str">
        <f>Head5b</f>
        <v>Pre-audit outcome</v>
      </c>
      <c r="J3" s="299" t="str">
        <f>Head9</f>
        <v>Budget Year 2015/16</v>
      </c>
      <c r="K3" s="389" t="str">
        <f>Head10</f>
        <v>Budget Year +1 2016/17</v>
      </c>
      <c r="L3" s="390" t="str">
        <f>Head11</f>
        <v>Budget Year +2 2017/18</v>
      </c>
    </row>
    <row r="4" spans="1:12" ht="11.25" customHeight="1" x14ac:dyDescent="0.25">
      <c r="A4" s="326" t="s">
        <v>1012</v>
      </c>
      <c r="B4" s="291"/>
      <c r="C4" s="311"/>
      <c r="D4" s="311"/>
      <c r="E4" s="314"/>
      <c r="F4" s="313"/>
      <c r="G4" s="311"/>
      <c r="H4" s="314"/>
      <c r="I4" s="312"/>
      <c r="J4" s="341"/>
      <c r="K4" s="311"/>
      <c r="L4" s="314"/>
    </row>
    <row r="5" spans="1:12" ht="11.25" customHeight="1" x14ac:dyDescent="0.25">
      <c r="A5" s="326" t="s">
        <v>1013</v>
      </c>
      <c r="B5" s="293"/>
      <c r="C5" s="203"/>
      <c r="D5" s="203"/>
      <c r="E5" s="204"/>
      <c r="F5" s="205"/>
      <c r="G5" s="203"/>
      <c r="H5" s="204"/>
      <c r="I5" s="202"/>
      <c r="J5" s="206"/>
      <c r="K5" s="203"/>
      <c r="L5" s="204"/>
    </row>
    <row r="6" spans="1:12" ht="11.25" customHeight="1" x14ac:dyDescent="0.25">
      <c r="A6" s="190" t="s">
        <v>697</v>
      </c>
      <c r="B6" s="293"/>
      <c r="C6" s="1606">
        <v>72682000</v>
      </c>
      <c r="D6" s="1606">
        <v>3189252</v>
      </c>
      <c r="E6" s="1628">
        <v>41211431</v>
      </c>
      <c r="F6" s="1629">
        <v>30552723.829999983</v>
      </c>
      <c r="G6" s="1606">
        <v>-163572296.17000002</v>
      </c>
      <c r="H6" s="1606">
        <v>-163572296.17000002</v>
      </c>
      <c r="I6" s="1630">
        <v>53062546</v>
      </c>
      <c r="J6" s="1608">
        <v>99999.77999997139</v>
      </c>
      <c r="K6" s="1606">
        <f>J6*1.059</f>
        <v>105899.7670199697</v>
      </c>
      <c r="L6" s="1628">
        <f>K6*1.056</f>
        <v>111830.15397308802</v>
      </c>
    </row>
    <row r="7" spans="1:12" ht="11.25" customHeight="1" x14ac:dyDescent="0.25">
      <c r="A7" s="190" t="s">
        <v>1508</v>
      </c>
      <c r="B7" s="293">
        <v>1</v>
      </c>
      <c r="C7" s="203">
        <f>'SA3'!C9</f>
        <v>0</v>
      </c>
      <c r="D7" s="203">
        <f>'SA3'!D9</f>
        <v>0</v>
      </c>
      <c r="E7" s="264">
        <f>'SA3'!E9</f>
        <v>0</v>
      </c>
      <c r="F7" s="205">
        <f>'SA3'!F9</f>
        <v>0</v>
      </c>
      <c r="G7" s="203">
        <f>'SA3'!G9</f>
        <v>0</v>
      </c>
      <c r="H7" s="264">
        <f>'SA3'!H9</f>
        <v>0</v>
      </c>
      <c r="I7" s="210">
        <f>'SA3'!I9</f>
        <v>0</v>
      </c>
      <c r="J7" s="211">
        <f>'SA3'!J9</f>
        <v>2468986.65</v>
      </c>
      <c r="K7" s="207">
        <f>'SA3'!K9</f>
        <v>2614656.8623499996</v>
      </c>
      <c r="L7" s="264">
        <f>'SA3'!L9</f>
        <v>2761077.6466415995</v>
      </c>
    </row>
    <row r="8" spans="1:12" ht="11.25" customHeight="1" x14ac:dyDescent="0.25">
      <c r="A8" s="190" t="s">
        <v>1506</v>
      </c>
      <c r="B8" s="293">
        <v>1</v>
      </c>
      <c r="C8" s="203">
        <f>'SA3'!C14</f>
        <v>60186000</v>
      </c>
      <c r="D8" s="203">
        <f>'SA3'!D14</f>
        <v>0</v>
      </c>
      <c r="E8" s="264">
        <f>'SA3'!E14</f>
        <v>4348474</v>
      </c>
      <c r="F8" s="205">
        <f>'SA3'!F14</f>
        <v>35576428</v>
      </c>
      <c r="G8" s="203">
        <f>'SA3'!G14</f>
        <v>35576428</v>
      </c>
      <c r="H8" s="264">
        <f>'SA3'!H14</f>
        <v>35576428</v>
      </c>
      <c r="I8" s="210">
        <f>'SA3'!I14</f>
        <v>431340669</v>
      </c>
      <c r="J8" s="211">
        <f>'SA3'!J14</f>
        <v>137736014.44</v>
      </c>
      <c r="K8" s="207">
        <f>'SA3'!K14</f>
        <v>145862439.29196</v>
      </c>
      <c r="L8" s="264">
        <f>'SA3'!L14</f>
        <v>154030735.89230978</v>
      </c>
    </row>
    <row r="9" spans="1:12" ht="11.25" customHeight="1" x14ac:dyDescent="0.25">
      <c r="A9" s="190" t="s">
        <v>1507</v>
      </c>
      <c r="B9" s="293"/>
      <c r="C9" s="1606">
        <v>0</v>
      </c>
      <c r="D9" s="1606">
        <v>73692870</v>
      </c>
      <c r="E9" s="1628"/>
      <c r="F9" s="1629">
        <v>160269000</v>
      </c>
      <c r="G9" s="1606">
        <v>160269000</v>
      </c>
      <c r="H9" s="1606">
        <v>160269000</v>
      </c>
      <c r="I9" s="1630">
        <v>0</v>
      </c>
      <c r="J9" s="1630">
        <v>0</v>
      </c>
      <c r="K9" s="1630">
        <v>0</v>
      </c>
      <c r="L9" s="1630">
        <v>0</v>
      </c>
    </row>
    <row r="10" spans="1:12" ht="11.25" customHeight="1" x14ac:dyDescent="0.25">
      <c r="A10" s="190" t="s">
        <v>698</v>
      </c>
      <c r="B10" s="293"/>
      <c r="C10" s="1606">
        <v>5607000</v>
      </c>
      <c r="D10" s="1606">
        <v>0</v>
      </c>
      <c r="E10" s="1628">
        <v>3617095</v>
      </c>
      <c r="F10" s="1633"/>
      <c r="G10" s="1631">
        <v>0</v>
      </c>
      <c r="H10" s="1631">
        <v>0</v>
      </c>
      <c r="I10" s="1630"/>
      <c r="J10" s="1635">
        <f>E10*1.058</f>
        <v>3826886.5100000002</v>
      </c>
      <c r="K10" s="1631">
        <f>J10*1.059</f>
        <v>4052672.81409</v>
      </c>
      <c r="L10" s="1632">
        <f>K10*1.056</f>
        <v>4279622.4916790398</v>
      </c>
    </row>
    <row r="11" spans="1:12" ht="11.25" customHeight="1" x14ac:dyDescent="0.25">
      <c r="A11" s="190" t="s">
        <v>1505</v>
      </c>
      <c r="B11" s="293">
        <v>2</v>
      </c>
      <c r="C11" s="1606"/>
      <c r="D11" s="1606">
        <v>4946946</v>
      </c>
      <c r="E11" s="1628">
        <v>1341651</v>
      </c>
      <c r="F11" s="1629">
        <v>5253656.6520000007</v>
      </c>
      <c r="G11" s="1606">
        <v>5253656.6520000007</v>
      </c>
      <c r="H11" s="1606">
        <v>5253656.6520000007</v>
      </c>
      <c r="I11" s="1630">
        <v>1341651</v>
      </c>
      <c r="J11" s="1608">
        <f>I11*1.058</f>
        <v>1419466.7580000001</v>
      </c>
      <c r="K11" s="1631">
        <f>J11*1.059</f>
        <v>1503215.296722</v>
      </c>
      <c r="L11" s="1632">
        <f>K11*1.056</f>
        <v>1587395.353338432</v>
      </c>
    </row>
    <row r="12" spans="1:12" ht="11.25" customHeight="1" x14ac:dyDescent="0.25">
      <c r="A12" s="342" t="s">
        <v>573</v>
      </c>
      <c r="B12" s="343"/>
      <c r="C12" s="276">
        <f t="shared" ref="C12:L12" si="0">SUM(C6:C11)</f>
        <v>138475000</v>
      </c>
      <c r="D12" s="276">
        <f t="shared" si="0"/>
        <v>81829068</v>
      </c>
      <c r="E12" s="277">
        <f t="shared" si="0"/>
        <v>50518651</v>
      </c>
      <c r="F12" s="278">
        <f t="shared" si="0"/>
        <v>231651808.48199999</v>
      </c>
      <c r="G12" s="276">
        <f t="shared" si="0"/>
        <v>37526788.481999986</v>
      </c>
      <c r="H12" s="277">
        <f t="shared" si="0"/>
        <v>37526788.481999986</v>
      </c>
      <c r="I12" s="811">
        <f t="shared" si="0"/>
        <v>485744866</v>
      </c>
      <c r="J12" s="279">
        <f t="shared" si="0"/>
        <v>145551354.13799995</v>
      </c>
      <c r="K12" s="276">
        <f t="shared" si="0"/>
        <v>154138884.03214198</v>
      </c>
      <c r="L12" s="277">
        <f t="shared" si="0"/>
        <v>162770661.53794193</v>
      </c>
    </row>
    <row r="13" spans="1:12" ht="5.0999999999999996" customHeight="1" x14ac:dyDescent="0.25">
      <c r="A13" s="201"/>
      <c r="B13" s="293"/>
      <c r="C13" s="203"/>
      <c r="D13" s="203"/>
      <c r="E13" s="204"/>
      <c r="F13" s="205"/>
      <c r="G13" s="203"/>
      <c r="H13" s="204"/>
      <c r="I13" s="210"/>
      <c r="J13" s="206"/>
      <c r="K13" s="203"/>
      <c r="L13" s="204"/>
    </row>
    <row r="14" spans="1:12" ht="11.25" customHeight="1" x14ac:dyDescent="0.25">
      <c r="A14" s="326" t="s">
        <v>567</v>
      </c>
      <c r="B14" s="293"/>
      <c r="C14" s="203"/>
      <c r="D14" s="203"/>
      <c r="E14" s="204"/>
      <c r="F14" s="205"/>
      <c r="G14" s="203"/>
      <c r="H14" s="204"/>
      <c r="I14" s="210"/>
      <c r="J14" s="206"/>
      <c r="K14" s="203"/>
      <c r="L14" s="204"/>
    </row>
    <row r="15" spans="1:12" ht="11.25" customHeight="1" x14ac:dyDescent="0.25">
      <c r="A15" s="190" t="s">
        <v>1504</v>
      </c>
      <c r="B15" s="293"/>
      <c r="C15" s="1606">
        <v>0</v>
      </c>
      <c r="D15" s="1606">
        <v>0</v>
      </c>
      <c r="E15" s="1628">
        <v>0</v>
      </c>
      <c r="F15" s="1629">
        <v>0</v>
      </c>
      <c r="G15" s="1606">
        <v>0</v>
      </c>
      <c r="H15" s="1628">
        <v>0</v>
      </c>
      <c r="I15" s="1630">
        <v>0</v>
      </c>
      <c r="J15" s="1608">
        <v>0</v>
      </c>
      <c r="K15" s="1606">
        <v>0</v>
      </c>
      <c r="L15" s="1628">
        <v>0</v>
      </c>
    </row>
    <row r="16" spans="1:12" ht="11.25" customHeight="1" x14ac:dyDescent="0.25">
      <c r="A16" s="190" t="s">
        <v>1014</v>
      </c>
      <c r="B16" s="293"/>
      <c r="C16" s="1606">
        <v>0</v>
      </c>
      <c r="D16" s="1606">
        <v>0</v>
      </c>
      <c r="E16" s="1628">
        <v>0</v>
      </c>
      <c r="F16" s="1633">
        <v>0</v>
      </c>
      <c r="G16" s="1631">
        <v>0</v>
      </c>
      <c r="H16" s="1632">
        <v>0</v>
      </c>
      <c r="I16" s="1630">
        <v>0</v>
      </c>
      <c r="J16" s="1635">
        <v>0</v>
      </c>
      <c r="K16" s="1631">
        <v>0</v>
      </c>
      <c r="L16" s="1632">
        <v>0</v>
      </c>
    </row>
    <row r="17" spans="1:13" ht="11.25" customHeight="1" x14ac:dyDescent="0.25">
      <c r="A17" s="190" t="s">
        <v>1503</v>
      </c>
      <c r="B17" s="293"/>
      <c r="C17" s="1606">
        <v>0</v>
      </c>
      <c r="D17" s="1606">
        <v>0</v>
      </c>
      <c r="E17" s="1628">
        <v>0</v>
      </c>
      <c r="F17" s="1629">
        <v>0</v>
      </c>
      <c r="G17" s="1606">
        <v>0</v>
      </c>
      <c r="H17" s="1628">
        <v>0</v>
      </c>
      <c r="I17" s="1630">
        <v>0</v>
      </c>
      <c r="J17" s="1608">
        <v>0</v>
      </c>
      <c r="K17" s="1606">
        <v>0</v>
      </c>
      <c r="L17" s="1628">
        <v>0</v>
      </c>
    </row>
    <row r="18" spans="1:13" ht="11.25" customHeight="1" x14ac:dyDescent="0.25">
      <c r="A18" s="190" t="s">
        <v>780</v>
      </c>
      <c r="B18" s="293"/>
      <c r="C18" s="1606">
        <v>0</v>
      </c>
      <c r="D18" s="1606">
        <v>0</v>
      </c>
      <c r="E18" s="1628">
        <v>0</v>
      </c>
      <c r="F18" s="1629">
        <v>0</v>
      </c>
      <c r="G18" s="1606">
        <v>0</v>
      </c>
      <c r="H18" s="1628">
        <v>0</v>
      </c>
      <c r="I18" s="1630">
        <v>0</v>
      </c>
      <c r="J18" s="1608">
        <v>0</v>
      </c>
      <c r="K18" s="1606">
        <v>0</v>
      </c>
      <c r="L18" s="1628">
        <v>0</v>
      </c>
    </row>
    <row r="19" spans="1:13" ht="11.25" customHeight="1" x14ac:dyDescent="0.25">
      <c r="A19" s="190" t="s">
        <v>1502</v>
      </c>
      <c r="B19" s="293">
        <v>3</v>
      </c>
      <c r="C19" s="203">
        <f>'SA3'!C26</f>
        <v>2584995000</v>
      </c>
      <c r="D19" s="203">
        <f>'SA3'!D26</f>
        <v>1643730954</v>
      </c>
      <c r="E19" s="264">
        <f>'SA3'!E26</f>
        <v>1603584350</v>
      </c>
      <c r="F19" s="205">
        <f>'SA3'!F26</f>
        <v>2018998554</v>
      </c>
      <c r="G19" s="203">
        <f>'SA3'!G26</f>
        <v>2019519305.2800002</v>
      </c>
      <c r="H19" s="204">
        <f>'SA3'!H26</f>
        <v>2019519305.2800002</v>
      </c>
      <c r="I19" s="202">
        <f>'SA3'!I26</f>
        <v>1622970885</v>
      </c>
      <c r="J19" s="206">
        <f>'SA3'!J26</f>
        <v>1693166049.4360001</v>
      </c>
      <c r="K19" s="203">
        <f>'SA3'!K26</f>
        <v>1793062846.3527241</v>
      </c>
      <c r="L19" s="204">
        <f>'SA3'!L26</f>
        <v>1893474365.7484767</v>
      </c>
    </row>
    <row r="20" spans="1:13" ht="11.25" customHeight="1" x14ac:dyDescent="0.25">
      <c r="A20" s="190" t="s">
        <v>940</v>
      </c>
      <c r="B20" s="293"/>
      <c r="C20" s="1606">
        <v>0</v>
      </c>
      <c r="D20" s="1606">
        <v>0</v>
      </c>
      <c r="E20" s="1628">
        <v>0</v>
      </c>
      <c r="F20" s="1629">
        <v>0</v>
      </c>
      <c r="G20" s="1606">
        <v>0</v>
      </c>
      <c r="H20" s="1628">
        <v>0</v>
      </c>
      <c r="I20" s="1630">
        <v>0</v>
      </c>
      <c r="J20" s="1608">
        <v>0</v>
      </c>
      <c r="K20" s="1606">
        <v>0</v>
      </c>
      <c r="L20" s="1628">
        <v>0</v>
      </c>
    </row>
    <row r="21" spans="1:13" ht="11.25" customHeight="1" x14ac:dyDescent="0.25">
      <c r="A21" s="190" t="s">
        <v>941</v>
      </c>
      <c r="B21" s="293"/>
      <c r="C21" s="1606">
        <v>0</v>
      </c>
      <c r="D21" s="1606">
        <v>0</v>
      </c>
      <c r="E21" s="1628">
        <v>0</v>
      </c>
      <c r="F21" s="1629">
        <v>0</v>
      </c>
      <c r="G21" s="1606">
        <v>0</v>
      </c>
      <c r="H21" s="1628">
        <v>0</v>
      </c>
      <c r="I21" s="1630">
        <v>0</v>
      </c>
      <c r="J21" s="1608">
        <v>0</v>
      </c>
      <c r="K21" s="1606">
        <v>0</v>
      </c>
      <c r="L21" s="1628">
        <v>0</v>
      </c>
    </row>
    <row r="22" spans="1:13" ht="11.25" customHeight="1" x14ac:dyDescent="0.25">
      <c r="A22" s="190" t="s">
        <v>942</v>
      </c>
      <c r="B22" s="293"/>
      <c r="C22" s="1606">
        <v>270014000</v>
      </c>
      <c r="D22" s="1606">
        <v>0</v>
      </c>
      <c r="E22" s="1628">
        <v>0</v>
      </c>
      <c r="F22" s="1629">
        <v>0</v>
      </c>
      <c r="G22" s="1606">
        <v>0</v>
      </c>
      <c r="H22" s="1628">
        <v>0</v>
      </c>
      <c r="I22" s="1630">
        <v>0</v>
      </c>
      <c r="J22" s="1608">
        <v>0</v>
      </c>
      <c r="K22" s="1606">
        <v>0</v>
      </c>
      <c r="L22" s="1628">
        <v>0</v>
      </c>
    </row>
    <row r="23" spans="1:13" ht="11.25" customHeight="1" x14ac:dyDescent="0.25">
      <c r="A23" s="190" t="s">
        <v>1683</v>
      </c>
      <c r="B23" s="293"/>
      <c r="C23" s="1606">
        <v>0</v>
      </c>
      <c r="D23" s="1606">
        <v>0</v>
      </c>
      <c r="E23" s="1628">
        <v>0</v>
      </c>
      <c r="F23" s="1633">
        <v>0</v>
      </c>
      <c r="G23" s="1631">
        <v>0</v>
      </c>
      <c r="H23" s="1632">
        <v>0</v>
      </c>
      <c r="I23" s="1629">
        <v>0</v>
      </c>
      <c r="J23" s="1635">
        <v>0</v>
      </c>
      <c r="K23" s="1631">
        <v>0</v>
      </c>
      <c r="L23" s="1632">
        <v>0</v>
      </c>
    </row>
    <row r="24" spans="1:13" ht="11.25" customHeight="1" x14ac:dyDescent="0.25">
      <c r="A24" s="342" t="s">
        <v>572</v>
      </c>
      <c r="B24" s="1382"/>
      <c r="C24" s="1381">
        <f>SUM(C15:C23)</f>
        <v>2855009000</v>
      </c>
      <c r="D24" s="213">
        <f>SUM(D15:D23)</f>
        <v>1643730954</v>
      </c>
      <c r="E24" s="214">
        <f t="shared" ref="E24:L24" si="1">SUM(E15:E23)</f>
        <v>1603584350</v>
      </c>
      <c r="F24" s="215">
        <f t="shared" si="1"/>
        <v>2018998554</v>
      </c>
      <c r="G24" s="213">
        <f t="shared" si="1"/>
        <v>2019519305.2800002</v>
      </c>
      <c r="H24" s="214">
        <f t="shared" si="1"/>
        <v>2019519305.2800002</v>
      </c>
      <c r="I24" s="212">
        <f t="shared" si="1"/>
        <v>1622970885</v>
      </c>
      <c r="J24" s="216">
        <f t="shared" si="1"/>
        <v>1693166049.4360001</v>
      </c>
      <c r="K24" s="213">
        <f t="shared" si="1"/>
        <v>1793062846.3527241</v>
      </c>
      <c r="L24" s="214">
        <f t="shared" si="1"/>
        <v>1893474365.7484767</v>
      </c>
    </row>
    <row r="25" spans="1:13" ht="11.25" customHeight="1" x14ac:dyDescent="0.25">
      <c r="A25" s="342" t="s">
        <v>576</v>
      </c>
      <c r="B25" s="343"/>
      <c r="C25" s="276">
        <f>C12+C24</f>
        <v>2993484000</v>
      </c>
      <c r="D25" s="276">
        <f>D12+D24</f>
        <v>1725560022</v>
      </c>
      <c r="E25" s="277">
        <f>E12+E24</f>
        <v>1654103001</v>
      </c>
      <c r="F25" s="278">
        <f t="shared" ref="F25:L25" si="2">F12+F24</f>
        <v>2250650362.4819999</v>
      </c>
      <c r="G25" s="276">
        <f t="shared" si="2"/>
        <v>2057046093.7620001</v>
      </c>
      <c r="H25" s="277">
        <f t="shared" si="2"/>
        <v>2057046093.7620001</v>
      </c>
      <c r="I25" s="275">
        <f t="shared" si="2"/>
        <v>2108715751</v>
      </c>
      <c r="J25" s="279">
        <f t="shared" si="2"/>
        <v>1838717403.5740001</v>
      </c>
      <c r="K25" s="276">
        <f t="shared" si="2"/>
        <v>1947201730.384866</v>
      </c>
      <c r="L25" s="277">
        <f t="shared" si="2"/>
        <v>2056245027.2864187</v>
      </c>
    </row>
    <row r="26" spans="1:13" ht="5.0999999999999996" customHeight="1" x14ac:dyDescent="0.25">
      <c r="A26" s="201"/>
      <c r="B26" s="293"/>
      <c r="C26" s="203"/>
      <c r="D26" s="203"/>
      <c r="E26" s="204"/>
      <c r="F26" s="205"/>
      <c r="G26" s="203"/>
      <c r="H26" s="204"/>
      <c r="I26" s="202"/>
      <c r="J26" s="206"/>
      <c r="K26" s="203"/>
      <c r="L26" s="204"/>
    </row>
    <row r="27" spans="1:13" ht="11.25" customHeight="1" x14ac:dyDescent="0.25">
      <c r="A27" s="326" t="s">
        <v>568</v>
      </c>
      <c r="B27" s="293"/>
      <c r="C27" s="203"/>
      <c r="D27" s="203"/>
      <c r="E27" s="204"/>
      <c r="F27" s="205"/>
      <c r="G27" s="203"/>
      <c r="H27" s="204"/>
      <c r="I27" s="202"/>
      <c r="J27" s="206"/>
      <c r="K27" s="203"/>
      <c r="L27" s="204"/>
    </row>
    <row r="28" spans="1:13" ht="11.25" customHeight="1" x14ac:dyDescent="0.25">
      <c r="A28" s="326" t="s">
        <v>1015</v>
      </c>
      <c r="B28" s="295"/>
      <c r="C28" s="203"/>
      <c r="D28" s="203"/>
      <c r="E28" s="204"/>
      <c r="F28" s="205"/>
      <c r="G28" s="203"/>
      <c r="H28" s="204"/>
      <c r="I28" s="202"/>
      <c r="J28" s="206"/>
      <c r="K28" s="203"/>
      <c r="L28" s="204"/>
    </row>
    <row r="29" spans="1:13" ht="11.25" customHeight="1" x14ac:dyDescent="0.25">
      <c r="A29" s="190" t="s">
        <v>1284</v>
      </c>
      <c r="B29" s="293">
        <v>1</v>
      </c>
      <c r="C29" s="1606">
        <v>0</v>
      </c>
      <c r="D29" s="1606">
        <v>0</v>
      </c>
      <c r="E29" s="1628">
        <v>0</v>
      </c>
      <c r="F29" s="1629">
        <v>0</v>
      </c>
      <c r="G29" s="1606">
        <v>0</v>
      </c>
      <c r="H29" s="1628">
        <v>0</v>
      </c>
      <c r="I29" s="1630">
        <v>0</v>
      </c>
      <c r="J29" s="1608">
        <v>0</v>
      </c>
      <c r="K29" s="1606">
        <v>0</v>
      </c>
      <c r="L29" s="1628">
        <v>0</v>
      </c>
    </row>
    <row r="30" spans="1:13" ht="11.25" customHeight="1" x14ac:dyDescent="0.25">
      <c r="A30" s="190" t="s">
        <v>1272</v>
      </c>
      <c r="B30" s="293">
        <v>4</v>
      </c>
      <c r="C30" s="203">
        <f>'SA3'!C32</f>
        <v>0</v>
      </c>
      <c r="D30" s="203">
        <f>'SA3'!D32</f>
        <v>0</v>
      </c>
      <c r="E30" s="264">
        <f>'SA3'!E32</f>
        <v>0</v>
      </c>
      <c r="F30" s="205">
        <f>'SA3'!F32</f>
        <v>0</v>
      </c>
      <c r="G30" s="203">
        <f>'SA3'!G32</f>
        <v>0</v>
      </c>
      <c r="H30" s="204">
        <f>'SA3'!H32</f>
        <v>0</v>
      </c>
      <c r="I30" s="202">
        <f>'SA3'!I32</f>
        <v>0</v>
      </c>
      <c r="J30" s="206">
        <f>'SA3'!J32</f>
        <v>0</v>
      </c>
      <c r="K30" s="203">
        <f>'SA3'!K32</f>
        <v>0</v>
      </c>
      <c r="L30" s="204">
        <f>'SA3'!L32</f>
        <v>0</v>
      </c>
    </row>
    <row r="31" spans="1:13" ht="11.25" customHeight="1" x14ac:dyDescent="0.25">
      <c r="A31" s="190" t="s">
        <v>1499</v>
      </c>
      <c r="B31" s="293"/>
      <c r="C31" s="1606">
        <v>0</v>
      </c>
      <c r="D31" s="1606">
        <v>0</v>
      </c>
      <c r="E31" s="1628">
        <v>0</v>
      </c>
      <c r="F31" s="1629">
        <v>0</v>
      </c>
      <c r="G31" s="1606">
        <v>0</v>
      </c>
      <c r="H31" s="1628">
        <v>0</v>
      </c>
      <c r="I31" s="1630">
        <v>0</v>
      </c>
      <c r="J31" s="1608">
        <v>0</v>
      </c>
      <c r="K31" s="1606">
        <v>0</v>
      </c>
      <c r="L31" s="1628">
        <v>0</v>
      </c>
      <c r="M31" s="369"/>
    </row>
    <row r="32" spans="1:13" ht="11.25" customHeight="1" x14ac:dyDescent="0.25">
      <c r="A32" s="190" t="s">
        <v>699</v>
      </c>
      <c r="B32" s="293">
        <v>4</v>
      </c>
      <c r="C32" s="203">
        <f>'SA3'!C38</f>
        <v>90358000</v>
      </c>
      <c r="D32" s="203">
        <f>'SA3'!D38</f>
        <v>68511953</v>
      </c>
      <c r="E32" s="264">
        <f>'SA3'!E38</f>
        <v>148071320</v>
      </c>
      <c r="F32" s="251">
        <f>'SA3'!F38</f>
        <v>36000000</v>
      </c>
      <c r="G32" s="203">
        <f>'SA3'!G38</f>
        <v>36000000</v>
      </c>
      <c r="H32" s="204">
        <f>'SA3'!H38</f>
        <v>36000000</v>
      </c>
      <c r="I32" s="202">
        <f>'SA3'!I38</f>
        <v>107551914</v>
      </c>
      <c r="J32" s="206">
        <f>'SA3'!J38</f>
        <v>56000000</v>
      </c>
      <c r="K32" s="203">
        <f>'SA3'!K38</f>
        <v>59304000</v>
      </c>
      <c r="L32" s="204">
        <f>'SA3'!L38</f>
        <v>62625024</v>
      </c>
      <c r="M32" s="369"/>
    </row>
    <row r="33" spans="1:15" ht="11.25" customHeight="1" x14ac:dyDescent="0.25">
      <c r="A33" s="190" t="s">
        <v>1016</v>
      </c>
      <c r="B33" s="293"/>
      <c r="C33" s="1606">
        <v>0</v>
      </c>
      <c r="D33" s="1606">
        <v>3125125</v>
      </c>
      <c r="E33" s="1628">
        <v>2786753</v>
      </c>
      <c r="F33" s="1629">
        <v>28913082.75</v>
      </c>
      <c r="G33" s="1606">
        <v>28913082.75</v>
      </c>
      <c r="H33" s="1628">
        <v>28913082.75</v>
      </c>
      <c r="I33" s="1630">
        <v>3495308</v>
      </c>
      <c r="J33" s="1608">
        <f>I33*1.058</f>
        <v>3698035.8640000001</v>
      </c>
      <c r="K33" s="1606">
        <f>J33*1.059</f>
        <v>3916219.9799759998</v>
      </c>
      <c r="L33" s="1628">
        <f>K33*1.056</f>
        <v>4135528.2988546561</v>
      </c>
      <c r="M33" s="369"/>
    </row>
    <row r="34" spans="1:15" ht="11.25" customHeight="1" x14ac:dyDescent="0.25">
      <c r="A34" s="342" t="s">
        <v>571</v>
      </c>
      <c r="B34" s="343"/>
      <c r="C34" s="276">
        <f t="shared" ref="C34:L34" si="3">SUM(C29:C33)</f>
        <v>90358000</v>
      </c>
      <c r="D34" s="276">
        <f t="shared" si="3"/>
        <v>71637078</v>
      </c>
      <c r="E34" s="277">
        <f t="shared" si="3"/>
        <v>150858073</v>
      </c>
      <c r="F34" s="278">
        <f t="shared" si="3"/>
        <v>64913082.75</v>
      </c>
      <c r="G34" s="276">
        <f t="shared" si="3"/>
        <v>64913082.75</v>
      </c>
      <c r="H34" s="277">
        <f t="shared" si="3"/>
        <v>64913082.75</v>
      </c>
      <c r="I34" s="275">
        <f t="shared" si="3"/>
        <v>111047222</v>
      </c>
      <c r="J34" s="279">
        <f t="shared" si="3"/>
        <v>59698035.864</v>
      </c>
      <c r="K34" s="276">
        <f t="shared" si="3"/>
        <v>63220219.979975998</v>
      </c>
      <c r="L34" s="277">
        <f t="shared" si="3"/>
        <v>66760552.298854657</v>
      </c>
      <c r="M34" s="369"/>
    </row>
    <row r="35" spans="1:15" ht="5.0999999999999996" customHeight="1" x14ac:dyDescent="0.25">
      <c r="A35" s="201"/>
      <c r="B35" s="293"/>
      <c r="C35" s="203"/>
      <c r="D35" s="203"/>
      <c r="E35" s="204"/>
      <c r="F35" s="205"/>
      <c r="G35" s="203"/>
      <c r="H35" s="204"/>
      <c r="I35" s="202"/>
      <c r="J35" s="206"/>
      <c r="K35" s="203"/>
      <c r="L35" s="204"/>
      <c r="M35" s="369"/>
    </row>
    <row r="36" spans="1:15" ht="11.25" customHeight="1" x14ac:dyDescent="0.25">
      <c r="A36" s="326" t="s">
        <v>569</v>
      </c>
      <c r="B36" s="293"/>
      <c r="C36" s="203"/>
      <c r="D36" s="203"/>
      <c r="E36" s="204"/>
      <c r="F36" s="205"/>
      <c r="G36" s="203"/>
      <c r="H36" s="204"/>
      <c r="I36" s="202"/>
      <c r="J36" s="206"/>
      <c r="K36" s="203"/>
      <c r="L36" s="204"/>
      <c r="M36" s="369"/>
    </row>
    <row r="37" spans="1:15" ht="11.25" customHeight="1" x14ac:dyDescent="0.25">
      <c r="A37" s="190" t="s">
        <v>1272</v>
      </c>
      <c r="B37" s="293"/>
      <c r="C37" s="203">
        <f>'SA3'!C43</f>
        <v>0</v>
      </c>
      <c r="D37" s="203">
        <f>'SA3'!D43</f>
        <v>0</v>
      </c>
      <c r="E37" s="264">
        <f>'SA3'!E43</f>
        <v>0</v>
      </c>
      <c r="F37" s="205">
        <f>'SA3'!F43</f>
        <v>0</v>
      </c>
      <c r="G37" s="203">
        <f>'SA3'!G43</f>
        <v>0</v>
      </c>
      <c r="H37" s="204">
        <f>'SA3'!H43</f>
        <v>0</v>
      </c>
      <c r="I37" s="202">
        <f>'SA3'!I43</f>
        <v>0</v>
      </c>
      <c r="J37" s="206">
        <f>'SA3'!J43</f>
        <v>0</v>
      </c>
      <c r="K37" s="203">
        <f>'SA3'!K43</f>
        <v>0</v>
      </c>
      <c r="L37" s="204">
        <f>'SA3'!L43</f>
        <v>0</v>
      </c>
      <c r="M37" s="369"/>
    </row>
    <row r="38" spans="1:15" ht="11.25" customHeight="1" x14ac:dyDescent="0.25">
      <c r="A38" s="190" t="s">
        <v>1016</v>
      </c>
      <c r="B38" s="293"/>
      <c r="C38" s="203">
        <f>'SA3'!C50</f>
        <v>8617991</v>
      </c>
      <c r="D38" s="203">
        <f>'SA3'!D50</f>
        <v>14401026</v>
      </c>
      <c r="E38" s="264">
        <f>'SA3'!E50</f>
        <v>20858137</v>
      </c>
      <c r="F38" s="205">
        <f>'SA3'!F50</f>
        <v>15293889.612000002</v>
      </c>
      <c r="G38" s="203">
        <f>'SA3'!G50</f>
        <v>15293889.612000002</v>
      </c>
      <c r="H38" s="204">
        <f>'SA3'!H50</f>
        <v>15293889.612000002</v>
      </c>
      <c r="I38" s="202">
        <f>'SA3'!I50</f>
        <v>20858137</v>
      </c>
      <c r="J38" s="206">
        <f>'SA3'!J50</f>
        <v>22067908.946000002</v>
      </c>
      <c r="K38" s="203">
        <f>'SA3'!K50</f>
        <v>23369915.573814001</v>
      </c>
      <c r="L38" s="204">
        <f>'SA3'!L50</f>
        <v>24748740.592669025</v>
      </c>
      <c r="M38" s="369"/>
    </row>
    <row r="39" spans="1:15" ht="11.25" customHeight="1" x14ac:dyDescent="0.25">
      <c r="A39" s="342" t="s">
        <v>570</v>
      </c>
      <c r="B39" s="1382"/>
      <c r="C39" s="1381">
        <f>SUM(C37:C38)</f>
        <v>8617991</v>
      </c>
      <c r="D39" s="213">
        <f>SUM(D37:D38)</f>
        <v>14401026</v>
      </c>
      <c r="E39" s="214">
        <f>SUM(E37:E38)</f>
        <v>20858137</v>
      </c>
      <c r="F39" s="215">
        <f t="shared" ref="F39:L39" si="4">SUM(F37:F38)</f>
        <v>15293889.612000002</v>
      </c>
      <c r="G39" s="213">
        <f t="shared" si="4"/>
        <v>15293889.612000002</v>
      </c>
      <c r="H39" s="214">
        <f t="shared" si="4"/>
        <v>15293889.612000002</v>
      </c>
      <c r="I39" s="215">
        <f t="shared" si="4"/>
        <v>20858137</v>
      </c>
      <c r="J39" s="216">
        <f t="shared" si="4"/>
        <v>22067908.946000002</v>
      </c>
      <c r="K39" s="213">
        <f>SUM(K37:K38)</f>
        <v>23369915.573814001</v>
      </c>
      <c r="L39" s="214">
        <f t="shared" si="4"/>
        <v>24748740.592669025</v>
      </c>
    </row>
    <row r="40" spans="1:15" ht="11.25" customHeight="1" x14ac:dyDescent="0.25">
      <c r="A40" s="342" t="s">
        <v>1073</v>
      </c>
      <c r="B40" s="343"/>
      <c r="C40" s="276">
        <f>C34+C39</f>
        <v>98975991</v>
      </c>
      <c r="D40" s="276">
        <f>D34+D39</f>
        <v>86038104</v>
      </c>
      <c r="E40" s="277">
        <f>E34+E39</f>
        <v>171716210</v>
      </c>
      <c r="F40" s="278">
        <f t="shared" ref="F40:L40" si="5">F34+F39</f>
        <v>80206972.362000003</v>
      </c>
      <c r="G40" s="276">
        <f t="shared" si="5"/>
        <v>80206972.362000003</v>
      </c>
      <c r="H40" s="277">
        <f t="shared" si="5"/>
        <v>80206972.362000003</v>
      </c>
      <c r="I40" s="275">
        <f t="shared" si="5"/>
        <v>131905359</v>
      </c>
      <c r="J40" s="279">
        <f t="shared" si="5"/>
        <v>81765944.810000002</v>
      </c>
      <c r="K40" s="276">
        <f>K34+K39</f>
        <v>86590135.553790003</v>
      </c>
      <c r="L40" s="277">
        <f t="shared" si="5"/>
        <v>91509292.891523689</v>
      </c>
    </row>
    <row r="41" spans="1:15" s="246" customFormat="1" ht="4.5" customHeight="1" x14ac:dyDescent="0.25">
      <c r="A41" s="201"/>
      <c r="B41" s="293"/>
      <c r="C41" s="203"/>
      <c r="D41" s="203"/>
      <c r="E41" s="204"/>
      <c r="F41" s="205"/>
      <c r="G41" s="203"/>
      <c r="H41" s="204"/>
      <c r="I41" s="202"/>
      <c r="J41" s="206"/>
      <c r="K41" s="203"/>
      <c r="L41" s="204"/>
      <c r="O41" s="149"/>
    </row>
    <row r="42" spans="1:15" ht="11.25" customHeight="1" x14ac:dyDescent="0.25">
      <c r="A42" s="346" t="s">
        <v>575</v>
      </c>
      <c r="B42" s="347">
        <v>5</v>
      </c>
      <c r="C42" s="283">
        <f t="shared" ref="C42:L42" si="6">C25-C40</f>
        <v>2894508009</v>
      </c>
      <c r="D42" s="283">
        <f t="shared" si="6"/>
        <v>1639521918</v>
      </c>
      <c r="E42" s="284">
        <f t="shared" si="6"/>
        <v>1482386791</v>
      </c>
      <c r="F42" s="285">
        <f t="shared" si="6"/>
        <v>2170443390.1199999</v>
      </c>
      <c r="G42" s="283">
        <f t="shared" si="6"/>
        <v>1976839121.4000001</v>
      </c>
      <c r="H42" s="284">
        <f t="shared" si="6"/>
        <v>1976839121.4000001</v>
      </c>
      <c r="I42" s="282">
        <f t="shared" si="6"/>
        <v>1976810392</v>
      </c>
      <c r="J42" s="286">
        <f t="shared" si="6"/>
        <v>1756951458.7640002</v>
      </c>
      <c r="K42" s="283">
        <f t="shared" si="6"/>
        <v>1860611594.8310759</v>
      </c>
      <c r="L42" s="284">
        <f t="shared" si="6"/>
        <v>1964735734.3948951</v>
      </c>
    </row>
    <row r="43" spans="1:15" ht="5.0999999999999996" customHeight="1" x14ac:dyDescent="0.25">
      <c r="A43" s="201"/>
      <c r="B43" s="293"/>
      <c r="C43" s="203"/>
      <c r="D43" s="203"/>
      <c r="E43" s="204"/>
      <c r="F43" s="205"/>
      <c r="G43" s="203"/>
      <c r="H43" s="204"/>
      <c r="I43" s="202"/>
      <c r="J43" s="206"/>
      <c r="K43" s="203"/>
      <c r="L43" s="204"/>
    </row>
    <row r="44" spans="1:15" ht="11.25" customHeight="1" x14ac:dyDescent="0.25">
      <c r="A44" s="333" t="s">
        <v>574</v>
      </c>
      <c r="B44" s="293"/>
      <c r="C44" s="203"/>
      <c r="D44" s="203"/>
      <c r="E44" s="204"/>
      <c r="F44" s="205"/>
      <c r="G44" s="203"/>
      <c r="H44" s="204"/>
      <c r="I44" s="202"/>
      <c r="J44" s="206"/>
      <c r="K44" s="203"/>
      <c r="L44" s="204"/>
    </row>
    <row r="45" spans="1:15" ht="11.25" customHeight="1" x14ac:dyDescent="0.25">
      <c r="A45" s="190" t="s">
        <v>424</v>
      </c>
      <c r="B45" s="293"/>
      <c r="C45" s="1606">
        <v>2894508009</v>
      </c>
      <c r="D45" s="1606">
        <v>2068864990</v>
      </c>
      <c r="E45" s="1628">
        <v>1482386791</v>
      </c>
      <c r="F45" s="1629">
        <v>2170443390.1199999</v>
      </c>
      <c r="G45" s="1606">
        <v>1976839121.4000001</v>
      </c>
      <c r="H45" s="1630">
        <v>1976839121.4000001</v>
      </c>
      <c r="I45" s="1630">
        <v>1976810392</v>
      </c>
      <c r="J45" s="1608">
        <v>1756951458.7640002</v>
      </c>
      <c r="K45" s="1606">
        <v>1860611594.8310759</v>
      </c>
      <c r="L45" s="1628">
        <v>1964735734.3948951</v>
      </c>
    </row>
    <row r="46" spans="1:15" ht="11.25" customHeight="1" x14ac:dyDescent="0.25">
      <c r="A46" s="190" t="s">
        <v>747</v>
      </c>
      <c r="B46" s="293">
        <v>4</v>
      </c>
      <c r="C46" s="203">
        <f>'SA3'!C69</f>
        <v>0</v>
      </c>
      <c r="D46" s="203">
        <f>'SA3'!D69</f>
        <v>-429343072</v>
      </c>
      <c r="E46" s="264">
        <f>'SA3'!E69</f>
        <v>0</v>
      </c>
      <c r="F46" s="251">
        <f>'SA3'!F69</f>
        <v>0</v>
      </c>
      <c r="G46" s="203">
        <f>'SA3'!G69</f>
        <v>0</v>
      </c>
      <c r="H46" s="204">
        <f>'SA3'!H69</f>
        <v>0</v>
      </c>
      <c r="I46" s="202">
        <f>'SA3'!I69</f>
        <v>0</v>
      </c>
      <c r="J46" s="206">
        <f>'SA3'!J69</f>
        <v>0</v>
      </c>
      <c r="K46" s="203">
        <f>'SA3'!K69</f>
        <v>0</v>
      </c>
      <c r="L46" s="204">
        <f>'SA3'!L69</f>
        <v>0</v>
      </c>
    </row>
    <row r="47" spans="1:15" ht="11.25" customHeight="1" x14ac:dyDescent="0.25">
      <c r="A47" s="190" t="s">
        <v>155</v>
      </c>
      <c r="B47" s="293"/>
      <c r="C47" s="1606">
        <v>0</v>
      </c>
      <c r="D47" s="1606">
        <v>0</v>
      </c>
      <c r="E47" s="1606">
        <v>0</v>
      </c>
      <c r="F47" s="1606">
        <v>0</v>
      </c>
      <c r="G47" s="1606">
        <v>0</v>
      </c>
      <c r="H47" s="1606">
        <v>0</v>
      </c>
      <c r="I47" s="1606">
        <v>0</v>
      </c>
      <c r="J47" s="1606">
        <v>0</v>
      </c>
      <c r="K47" s="1606">
        <v>0</v>
      </c>
      <c r="L47" s="1606">
        <v>0</v>
      </c>
    </row>
    <row r="48" spans="1:15" x14ac:dyDescent="0.25">
      <c r="A48" s="224" t="s">
        <v>1074</v>
      </c>
      <c r="B48" s="306">
        <v>5</v>
      </c>
      <c r="C48" s="230">
        <f>SUM(C45:C47)</f>
        <v>2894508009</v>
      </c>
      <c r="D48" s="230">
        <f t="shared" ref="D48:L48" si="7">SUM(D45:D47)</f>
        <v>1639521918</v>
      </c>
      <c r="E48" s="228">
        <f t="shared" si="7"/>
        <v>1482386791</v>
      </c>
      <c r="F48" s="229">
        <f t="shared" si="7"/>
        <v>2170443390.1199999</v>
      </c>
      <c r="G48" s="230">
        <f t="shared" si="7"/>
        <v>1976839121.4000001</v>
      </c>
      <c r="H48" s="228">
        <f t="shared" si="7"/>
        <v>1976839121.4000001</v>
      </c>
      <c r="I48" s="231">
        <f t="shared" si="7"/>
        <v>1976810392</v>
      </c>
      <c r="J48" s="232">
        <f t="shared" si="7"/>
        <v>1756951458.7640002</v>
      </c>
      <c r="K48" s="230">
        <f t="shared" si="7"/>
        <v>1860611594.8310759</v>
      </c>
      <c r="L48" s="228">
        <f t="shared" si="7"/>
        <v>1964735734.3948951</v>
      </c>
    </row>
    <row r="49" spans="1:14" s="708" customFormat="1" x14ac:dyDescent="0.25">
      <c r="A49" s="1228" t="str">
        <f>head27a</f>
        <v>References</v>
      </c>
      <c r="B49" s="1189"/>
      <c r="C49" s="1192"/>
      <c r="D49" s="1192"/>
      <c r="E49" s="1192"/>
      <c r="F49" s="1192"/>
      <c r="G49" s="1192"/>
      <c r="H49" s="1192"/>
      <c r="I49" s="1192"/>
      <c r="J49" s="1192"/>
      <c r="K49" s="1192"/>
      <c r="L49" s="1192"/>
    </row>
    <row r="50" spans="1:14" s="708" customFormat="1" x14ac:dyDescent="0.25">
      <c r="A50" s="2784" t="s">
        <v>1441</v>
      </c>
      <c r="B50" s="2784"/>
      <c r="C50" s="2784"/>
      <c r="D50" s="2784"/>
      <c r="E50" s="2784"/>
      <c r="F50" s="2784"/>
      <c r="G50" s="2784"/>
      <c r="H50" s="2784"/>
      <c r="I50" s="2784"/>
      <c r="J50" s="2784"/>
      <c r="K50" s="2784"/>
      <c r="L50" s="2784"/>
    </row>
    <row r="51" spans="1:14" s="708" customFormat="1" ht="12.75" customHeight="1" x14ac:dyDescent="0.25">
      <c r="A51" s="1190" t="s">
        <v>1050</v>
      </c>
      <c r="B51" s="1190"/>
      <c r="C51" s="1190"/>
      <c r="D51" s="1190"/>
      <c r="E51" s="1190"/>
      <c r="F51" s="1190"/>
      <c r="G51" s="1190"/>
      <c r="H51" s="1190"/>
      <c r="I51" s="1190"/>
      <c r="J51" s="1190"/>
      <c r="K51" s="1190"/>
      <c r="L51" s="1190"/>
    </row>
    <row r="52" spans="1:14" s="708" customFormat="1" ht="12.75" customHeight="1" x14ac:dyDescent="0.25">
      <c r="A52" s="1190" t="s">
        <v>1810</v>
      </c>
      <c r="B52" s="1190"/>
      <c r="C52" s="1190"/>
      <c r="D52" s="1190"/>
      <c r="E52" s="1190"/>
      <c r="F52" s="1190"/>
      <c r="G52" s="1190"/>
      <c r="H52" s="1190"/>
      <c r="I52" s="1190"/>
      <c r="J52" s="1190"/>
      <c r="K52" s="1190"/>
      <c r="L52" s="1190"/>
    </row>
    <row r="53" spans="1:14" s="708" customFormat="1" ht="12.75" customHeight="1" x14ac:dyDescent="0.25">
      <c r="A53" s="1190" t="s">
        <v>450</v>
      </c>
      <c r="B53" s="1190"/>
      <c r="C53" s="1190"/>
      <c r="D53" s="1190"/>
      <c r="E53" s="1154"/>
      <c r="F53" s="1154"/>
      <c r="G53" s="1190"/>
      <c r="H53" s="1190"/>
      <c r="I53" s="1190"/>
      <c r="J53" s="1190"/>
      <c r="K53" s="1190"/>
      <c r="L53" s="1190"/>
    </row>
    <row r="54" spans="1:14" s="708" customFormat="1" ht="11.25" customHeight="1" x14ac:dyDescent="0.25">
      <c r="A54" s="1190" t="s">
        <v>135</v>
      </c>
      <c r="B54" s="1189"/>
      <c r="C54" s="1191"/>
      <c r="D54" s="1191"/>
      <c r="E54" s="1192"/>
      <c r="F54" s="1192"/>
      <c r="G54" s="1192"/>
      <c r="H54" s="1192"/>
      <c r="I54" s="1192"/>
      <c r="J54" s="1192"/>
      <c r="K54" s="1192"/>
      <c r="L54" s="1192"/>
    </row>
    <row r="55" spans="1:14" ht="11.25" customHeight="1" x14ac:dyDescent="0.25">
      <c r="A55" s="1259" t="s">
        <v>295</v>
      </c>
      <c r="B55" s="1189"/>
      <c r="C55" s="1263">
        <f>IF((C42-C48)=0,0,"Unbalanced")</f>
        <v>0</v>
      </c>
      <c r="D55" s="1263">
        <f t="shared" ref="D55:L55" si="8">IF((D42-D48)=0,0,"Unbalanced")</f>
        <v>0</v>
      </c>
      <c r="E55" s="1263">
        <f t="shared" si="8"/>
        <v>0</v>
      </c>
      <c r="F55" s="1263">
        <f t="shared" si="8"/>
        <v>0</v>
      </c>
      <c r="G55" s="1263">
        <f t="shared" si="8"/>
        <v>0</v>
      </c>
      <c r="H55" s="1263">
        <f t="shared" si="8"/>
        <v>0</v>
      </c>
      <c r="I55" s="1263">
        <f t="shared" si="8"/>
        <v>0</v>
      </c>
      <c r="J55" s="1263">
        <f t="shared" si="8"/>
        <v>0</v>
      </c>
      <c r="K55" s="1263">
        <f t="shared" si="8"/>
        <v>0</v>
      </c>
      <c r="L55" s="1263">
        <f t="shared" si="8"/>
        <v>0</v>
      </c>
      <c r="M55" s="246"/>
      <c r="N55" s="246"/>
    </row>
    <row r="56" spans="1:14" ht="11.25" customHeight="1" x14ac:dyDescent="0.25"/>
    <row r="57" spans="1:14" ht="11.25" customHeight="1" x14ac:dyDescent="0.25">
      <c r="B57" s="149"/>
    </row>
    <row r="58" spans="1:14" ht="11.25" customHeight="1" x14ac:dyDescent="0.25">
      <c r="B58" s="149"/>
    </row>
    <row r="59" spans="1:14" ht="11.25" customHeight="1" x14ac:dyDescent="0.25">
      <c r="B59" s="149"/>
    </row>
    <row r="60" spans="1:14" ht="11.25" customHeight="1" x14ac:dyDescent="0.25">
      <c r="B60" s="149"/>
    </row>
    <row r="61" spans="1:14" ht="11.25" customHeight="1" x14ac:dyDescent="0.25"/>
    <row r="62" spans="1:14" ht="11.25" customHeight="1" x14ac:dyDescent="0.25"/>
    <row r="63" spans="1:14" ht="11.25" customHeight="1" x14ac:dyDescent="0.25"/>
    <row r="64" spans="1:14" ht="11.25" customHeight="1" x14ac:dyDescent="0.25"/>
    <row r="65" spans="1:12" ht="11.25" customHeight="1" x14ac:dyDescent="0.25"/>
    <row r="66" spans="1:12" ht="11.25" customHeight="1" x14ac:dyDescent="0.25"/>
    <row r="67" spans="1:12" ht="11.25" customHeight="1" x14ac:dyDescent="0.25"/>
    <row r="68" spans="1:12" ht="11.25" customHeight="1" x14ac:dyDescent="0.25"/>
    <row r="69" spans="1:12" ht="11.25" customHeight="1" x14ac:dyDescent="0.25"/>
    <row r="70" spans="1:12" ht="11.25" customHeight="1" x14ac:dyDescent="0.25"/>
    <row r="71" spans="1:12" s="460" customFormat="1" ht="11.25" customHeight="1" x14ac:dyDescent="0.25">
      <c r="A71" s="460" t="s">
        <v>2274</v>
      </c>
      <c r="B71" s="800"/>
      <c r="C71" s="2648" t="str">
        <f>IF(C25&lt;&gt;C40,"Unbalanced",0)</f>
        <v>Unbalanced</v>
      </c>
      <c r="D71" s="2649" t="str">
        <f t="shared" ref="D71:L71" si="9">IF(D25&lt;&gt;D40,"Unbalanced",0)</f>
        <v>Unbalanced</v>
      </c>
      <c r="E71" s="2649" t="str">
        <f t="shared" si="9"/>
        <v>Unbalanced</v>
      </c>
      <c r="F71" s="2649" t="str">
        <f t="shared" si="9"/>
        <v>Unbalanced</v>
      </c>
      <c r="G71" s="2649" t="str">
        <f t="shared" si="9"/>
        <v>Unbalanced</v>
      </c>
      <c r="H71" s="2649" t="str">
        <f t="shared" si="9"/>
        <v>Unbalanced</v>
      </c>
      <c r="I71" s="2649" t="str">
        <f t="shared" si="9"/>
        <v>Unbalanced</v>
      </c>
      <c r="J71" s="2649" t="str">
        <f t="shared" si="9"/>
        <v>Unbalanced</v>
      </c>
      <c r="K71" s="2649" t="str">
        <f t="shared" si="9"/>
        <v>Unbalanced</v>
      </c>
      <c r="L71" s="2649" t="str">
        <f t="shared" si="9"/>
        <v>Unbalanced</v>
      </c>
    </row>
    <row r="72" spans="1:12" ht="11.25" customHeight="1" x14ac:dyDescent="0.25"/>
    <row r="73" spans="1:12" ht="11.25" customHeight="1" x14ac:dyDescent="0.25"/>
    <row r="74" spans="1:12" ht="11.25" customHeight="1" x14ac:dyDescent="0.25"/>
    <row r="75" spans="1:12" ht="11.25" customHeight="1" x14ac:dyDescent="0.25"/>
    <row r="76" spans="1:12" ht="11.25" customHeight="1" x14ac:dyDescent="0.25"/>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sheetProtection sheet="1" objects="1" scenarios="1"/>
  <customSheetViews>
    <customSheetView guid="{F50C5479-5CC4-4FD7-8319-543D29E829F0}" showGridLines="0" fitToPage="1">
      <pane xSplit="2" ySplit="3" topLeftCell="C26" activePane="bottomRight" state="frozen"/>
      <selection pane="bottomRight" activeCell="G42" sqref="G42"/>
      <pageMargins left="0" right="0" top="0.78740157480314965" bottom="0.59055118110236227" header="0.51181102362204722" footer="0.39370078740157483"/>
      <printOptions horizontalCentered="1"/>
      <pageSetup paperSize="9" scale="81" orientation="portrait" r:id="rId1"/>
      <headerFooter alignWithMargins="0"/>
    </customSheetView>
  </customSheetViews>
  <mergeCells count="3">
    <mergeCell ref="A50:L50"/>
    <mergeCell ref="J2:L2"/>
    <mergeCell ref="F2:I2"/>
  </mergeCells>
  <phoneticPr fontId="2" type="noConversion"/>
  <conditionalFormatting sqref="C71:L71">
    <cfRule type="cellIs" dxfId="1" priority="2" stopIfTrue="1" operator="greaterThan">
      <formula>" –  "</formula>
    </cfRule>
  </conditionalFormatting>
  <conditionalFormatting sqref="C55:L55">
    <cfRule type="cellIs" dxfId="0" priority="1" stopIfTrue="1" operator="notEqual">
      <formula>0</formula>
    </cfRule>
  </conditionalFormatting>
  <printOptions horizontalCentered="1"/>
  <pageMargins left="0" right="0" top="0.78740157480314965" bottom="0.59055118110236227" header="0.51181102362204722" footer="0.39370078740157483"/>
  <pageSetup paperSize="9" scale="81"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9CCFF"/>
  </sheetPr>
  <dimension ref="A1:P79"/>
  <sheetViews>
    <sheetView showGridLines="0" zoomScaleNormal="100" workbookViewId="0">
      <pane xSplit="2" ySplit="3" topLeftCell="C20" activePane="bottomRight" state="frozen"/>
      <selection activeCell="U54" sqref="U54"/>
      <selection pane="topRight" activeCell="U54" sqref="U54"/>
      <selection pane="bottomLeft" activeCell="U54" sqref="U54"/>
      <selection pane="bottomRight" sqref="A1:L40"/>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"&amp;Approve7</f>
        <v>MP315 Thembisile Hani - Table A7 Budgeted Cash Flows</v>
      </c>
      <c r="B1" s="147"/>
      <c r="C1" s="147"/>
      <c r="D1" s="147"/>
      <c r="E1" s="147"/>
      <c r="F1" s="147"/>
      <c r="G1" s="147"/>
      <c r="H1" s="147"/>
      <c r="I1" s="147"/>
      <c r="J1" s="147"/>
      <c r="K1" s="147"/>
      <c r="L1" s="147"/>
    </row>
    <row r="2" spans="1:12" ht="28.5" customHeight="1" x14ac:dyDescent="0.25">
      <c r="A2" s="970" t="str">
        <f>desc</f>
        <v>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2" ht="25.5" x14ac:dyDescent="0.25">
      <c r="A3" s="180" t="s">
        <v>662</v>
      </c>
      <c r="B3" s="985"/>
      <c r="C3" s="389" t="str">
        <f>Head5</f>
        <v>Audited Outcome</v>
      </c>
      <c r="D3" s="389" t="str">
        <f>Head5</f>
        <v>Audited Outcome</v>
      </c>
      <c r="E3" s="390" t="str">
        <f>Head5</f>
        <v>Audited Outcome</v>
      </c>
      <c r="F3" s="2645" t="str">
        <f>Head6</f>
        <v>Original Budget</v>
      </c>
      <c r="G3" s="923" t="str">
        <f>Head7</f>
        <v>Adjusted Budget</v>
      </c>
      <c r="H3" s="923" t="str">
        <f>Head8</f>
        <v>Full Year Forecast</v>
      </c>
      <c r="I3" s="2647" t="str">
        <f>Head5b</f>
        <v>Pre-audit outcome</v>
      </c>
      <c r="J3" s="2645" t="str">
        <f>Head9</f>
        <v>Budget Year 2015/16</v>
      </c>
      <c r="K3" s="923" t="str">
        <f>Head10</f>
        <v>Budget Year +1 2016/17</v>
      </c>
      <c r="L3" s="924" t="str">
        <f>Head11</f>
        <v>Budget Year +2 2017/18</v>
      </c>
    </row>
    <row r="4" spans="1:12" ht="11.25" customHeight="1" x14ac:dyDescent="0.25">
      <c r="A4" s="326" t="s">
        <v>929</v>
      </c>
      <c r="B4" s="291"/>
      <c r="C4" s="311"/>
      <c r="D4" s="311"/>
      <c r="E4" s="858"/>
      <c r="F4" s="341"/>
      <c r="G4" s="311"/>
      <c r="H4" s="311"/>
      <c r="I4" s="314"/>
      <c r="J4" s="341"/>
      <c r="K4" s="311"/>
      <c r="L4" s="858"/>
    </row>
    <row r="5" spans="1:12" ht="11.25" customHeight="1" x14ac:dyDescent="0.25">
      <c r="A5" s="333" t="s">
        <v>825</v>
      </c>
      <c r="B5" s="293"/>
      <c r="C5" s="203"/>
      <c r="D5" s="203"/>
      <c r="E5" s="803"/>
      <c r="F5" s="206"/>
      <c r="G5" s="203"/>
      <c r="H5" s="203"/>
      <c r="I5" s="204"/>
      <c r="J5" s="206"/>
      <c r="K5" s="203"/>
      <c r="L5" s="803"/>
    </row>
    <row r="6" spans="1:12" ht="11.25" customHeight="1" x14ac:dyDescent="0.25">
      <c r="A6" s="250" t="s">
        <v>2275</v>
      </c>
      <c r="B6" s="293"/>
      <c r="C6" s="1606"/>
      <c r="D6" s="1606">
        <v>0</v>
      </c>
      <c r="E6" s="1609">
        <v>228061</v>
      </c>
      <c r="F6" s="1608">
        <v>240132.00600000002</v>
      </c>
      <c r="G6" s="1606">
        <v>1229843</v>
      </c>
      <c r="H6" s="1606">
        <v>1229843</v>
      </c>
      <c r="I6" s="1628">
        <v>5870619</v>
      </c>
      <c r="J6" s="1063">
        <f>'SA30'!N5+'SA30'!N6</f>
        <v>25480607.609999999</v>
      </c>
      <c r="K6" s="1059">
        <f>'SA30'!O5+'SA30'!O6</f>
        <v>26983963.458989996</v>
      </c>
      <c r="L6" s="1146">
        <f>'SA30'!P5+'SA30'!P6</f>
        <v>28495065.412693437</v>
      </c>
    </row>
    <row r="7" spans="1:12" ht="11.25" customHeight="1" x14ac:dyDescent="0.25">
      <c r="A7" s="250" t="s">
        <v>1597</v>
      </c>
      <c r="B7" s="293"/>
      <c r="C7" s="1606"/>
      <c r="D7" s="1606">
        <v>0</v>
      </c>
      <c r="E7" s="1609">
        <v>2065736</v>
      </c>
      <c r="F7" s="1608">
        <v>2051165.88</v>
      </c>
      <c r="G7" s="1606">
        <v>2624764</v>
      </c>
      <c r="H7" s="1606">
        <v>2624764</v>
      </c>
      <c r="I7" s="1628">
        <v>1403536</v>
      </c>
      <c r="J7" s="1063">
        <f>'SA30'!N7+'SA30'!N8+'SA30'!N9+'SA30'!N10+'SA30'!N11</f>
        <v>16893878.119999997</v>
      </c>
      <c r="K7" s="1059">
        <f>'SA30'!O7+'SA30'!O8+'SA30'!O9+'SA30'!O10+'SA30'!O11</f>
        <v>17890616.929079998</v>
      </c>
      <c r="L7" s="1146">
        <f>'SA30'!P7+'SA30'!P8+'SA30'!P9+'SA30'!P10+'SA30'!P11</f>
        <v>18892491.477108479</v>
      </c>
    </row>
    <row r="8" spans="1:12" ht="11.25" customHeight="1" x14ac:dyDescent="0.25">
      <c r="A8" s="250" t="s">
        <v>1547</v>
      </c>
      <c r="B8" s="293"/>
      <c r="C8" s="1606">
        <v>47020000</v>
      </c>
      <c r="D8" s="1606">
        <v>24110686</v>
      </c>
      <c r="E8" s="1609">
        <v>255499388</v>
      </c>
      <c r="F8" s="1608">
        <v>8913139.0100000501</v>
      </c>
      <c r="G8" s="1606">
        <v>6230858.0799999833</v>
      </c>
      <c r="H8" s="1606">
        <v>6230858.0799999833</v>
      </c>
      <c r="I8" s="1628">
        <v>40717060</v>
      </c>
      <c r="J8" s="1063">
        <f>'SA30'!N12+'SA30'!N16+'SA30'!N17+'SA30'!N18+'SA30'!N20</f>
        <v>35923895.039999999</v>
      </c>
      <c r="K8" s="1059">
        <f>'SA30'!O12+'SA30'!O16+'SA30'!O17+'SA30'!O18+'SA30'!O20</f>
        <v>38043404.84736</v>
      </c>
      <c r="L8" s="1146">
        <f>'SA30'!P12+'SA30'!P16+'SA30'!P17+'SA30'!P18+'SA30'!P20</f>
        <v>40173835.518812157</v>
      </c>
    </row>
    <row r="9" spans="1:12" ht="11.25" customHeight="1" x14ac:dyDescent="0.25">
      <c r="A9" s="325" t="s">
        <v>1469</v>
      </c>
      <c r="B9" s="293">
        <v>1</v>
      </c>
      <c r="C9" s="1606">
        <v>297324000</v>
      </c>
      <c r="D9" s="1606">
        <v>226638456</v>
      </c>
      <c r="E9" s="1609">
        <v>247290000</v>
      </c>
      <c r="F9" s="1608">
        <v>280980250</v>
      </c>
      <c r="G9" s="1606">
        <v>275755001.63</v>
      </c>
      <c r="H9" s="1606">
        <v>275755001.63</v>
      </c>
      <c r="I9" s="1628">
        <v>200304000</v>
      </c>
      <c r="J9" s="1063">
        <f>'SA30'!N19</f>
        <v>309291000</v>
      </c>
      <c r="K9" s="1059">
        <f>'SA30'!O19</f>
        <v>327539169</v>
      </c>
      <c r="L9" s="1146">
        <f>'SA30'!P19</f>
        <v>345881362.46399999</v>
      </c>
    </row>
    <row r="10" spans="1:12" ht="11.25" customHeight="1" x14ac:dyDescent="0.25">
      <c r="A10" s="325" t="s">
        <v>1470</v>
      </c>
      <c r="B10" s="293">
        <v>1</v>
      </c>
      <c r="C10" s="1606">
        <v>0</v>
      </c>
      <c r="D10" s="1606">
        <v>136960821</v>
      </c>
      <c r="E10" s="1609">
        <v>90210744</v>
      </c>
      <c r="F10" s="1608">
        <v>110819750</v>
      </c>
      <c r="G10" s="1606">
        <v>115285000</v>
      </c>
      <c r="H10" s="1606">
        <v>115285000</v>
      </c>
      <c r="I10" s="1628">
        <v>0</v>
      </c>
      <c r="J10" s="1063">
        <f>'SA30'!N24</f>
        <v>120239000</v>
      </c>
      <c r="K10" s="1059">
        <f>'SA30'!O24</f>
        <v>127333101</v>
      </c>
      <c r="L10" s="1146">
        <f>'SA30'!P24</f>
        <v>134463754.65600002</v>
      </c>
    </row>
    <row r="11" spans="1:12" ht="11.25" customHeight="1" x14ac:dyDescent="0.25">
      <c r="A11" s="325" t="s">
        <v>344</v>
      </c>
      <c r="B11" s="293"/>
      <c r="C11" s="1606">
        <v>5319400</v>
      </c>
      <c r="D11" s="1606">
        <v>4455732</v>
      </c>
      <c r="E11" s="1609">
        <v>2923677</v>
      </c>
      <c r="F11" s="1608">
        <v>764298.96</v>
      </c>
      <c r="G11" s="1606">
        <v>1825373.99</v>
      </c>
      <c r="H11" s="1606">
        <v>1825373.99</v>
      </c>
      <c r="I11" s="1628">
        <v>2894088</v>
      </c>
      <c r="J11" s="1063">
        <f>'SA30'!N13+'SA30'!N14</f>
        <v>2755605.65</v>
      </c>
      <c r="K11" s="1059">
        <f>'SA30'!O13+'SA30'!O14</f>
        <v>2918186.3833499998</v>
      </c>
      <c r="L11" s="1146">
        <f>'SA30'!P13+'SA30'!P14</f>
        <v>3081604.8208175995</v>
      </c>
    </row>
    <row r="12" spans="1:12" ht="11.25" customHeight="1" x14ac:dyDescent="0.25">
      <c r="A12" s="325" t="s">
        <v>603</v>
      </c>
      <c r="B12" s="293"/>
      <c r="C12" s="1606"/>
      <c r="D12" s="1606"/>
      <c r="E12" s="1609"/>
      <c r="F12" s="1608"/>
      <c r="G12" s="1606"/>
      <c r="H12" s="1606"/>
      <c r="I12" s="1628"/>
      <c r="J12" s="1063">
        <f>'SA30'!N15</f>
        <v>0</v>
      </c>
      <c r="K12" s="1059">
        <f>'SA30'!O15</f>
        <v>0</v>
      </c>
      <c r="L12" s="1146">
        <f>'SA30'!P15</f>
        <v>0</v>
      </c>
    </row>
    <row r="13" spans="1:12" ht="11.25" customHeight="1" x14ac:dyDescent="0.25">
      <c r="A13" s="333" t="s">
        <v>826</v>
      </c>
      <c r="B13" s="293"/>
      <c r="C13" s="207"/>
      <c r="D13" s="203"/>
      <c r="E13" s="803"/>
      <c r="F13" s="206"/>
      <c r="G13" s="203"/>
      <c r="H13" s="203"/>
      <c r="I13" s="204"/>
      <c r="J13" s="1221"/>
      <c r="K13" s="1217"/>
      <c r="L13" s="2160"/>
    </row>
    <row r="14" spans="1:12" ht="11.25" customHeight="1" x14ac:dyDescent="0.25">
      <c r="A14" s="325" t="s">
        <v>1471</v>
      </c>
      <c r="B14" s="293"/>
      <c r="C14" s="1606">
        <v>-270735000</v>
      </c>
      <c r="D14" s="1606">
        <v>-311110061</v>
      </c>
      <c r="E14" s="1609">
        <v>-445205734</v>
      </c>
      <c r="F14" s="1608">
        <v>-312122116.648256</v>
      </c>
      <c r="G14" s="1606">
        <v>-548112989.55999994</v>
      </c>
      <c r="H14" s="1606">
        <v>-548112989.55999994</v>
      </c>
      <c r="I14" s="1628">
        <v>-202827179</v>
      </c>
      <c r="J14" s="1063">
        <f>-('SA30'!N36+'SA30'!N37+'SA30'!N39+'SA30'!N40+'SA30'!N41+'SA30'!N42+'SA30'!N45+'SA30'!N51)</f>
        <v>-389944851.63999999</v>
      </c>
      <c r="K14" s="1059">
        <f>-('SA30'!O36+'SA30'!O37+'SA30'!O39+'SA30'!O40+'SA30'!O41+'SA30'!O42+'SA30'!O45+'SA30'!O51)</f>
        <v>-412951597.88676</v>
      </c>
      <c r="L14" s="1146">
        <f>-('SA30'!P36+'SA30'!P37+'SA30'!P39+'SA30'!P40+'SA30'!P41+'SA30'!P42+'SA30'!P45+'SA30'!P51)</f>
        <v>-436076887.36841857</v>
      </c>
    </row>
    <row r="15" spans="1:12" ht="11.25" customHeight="1" x14ac:dyDescent="0.25">
      <c r="A15" s="325" t="s">
        <v>1546</v>
      </c>
      <c r="B15" s="293"/>
      <c r="C15" s="1606"/>
      <c r="D15" s="1606">
        <v>0</v>
      </c>
      <c r="E15" s="1609">
        <v>0</v>
      </c>
      <c r="F15" s="1608"/>
      <c r="G15" s="1606"/>
      <c r="H15" s="1606"/>
      <c r="I15" s="1628"/>
      <c r="J15" s="1063">
        <f>-('SA30'!N38)</f>
        <v>0</v>
      </c>
      <c r="K15" s="1059">
        <f>-('SA30'!O38)</f>
        <v>0</v>
      </c>
      <c r="L15" s="1146">
        <f>-('SA30'!P38)</f>
        <v>0</v>
      </c>
    </row>
    <row r="16" spans="1:12" ht="11.25" customHeight="1" x14ac:dyDescent="0.25">
      <c r="A16" s="325" t="s">
        <v>1270</v>
      </c>
      <c r="B16" s="293">
        <v>1</v>
      </c>
      <c r="C16" s="1651"/>
      <c r="D16" s="1651">
        <v>-2863000</v>
      </c>
      <c r="E16" s="1655">
        <v>-2842000</v>
      </c>
      <c r="F16" s="2646"/>
      <c r="G16" s="1651"/>
      <c r="H16" s="1651"/>
      <c r="I16" s="1652"/>
      <c r="J16" s="1142">
        <f>-('SA30'!N43+'SA30'!N44)</f>
        <v>-4300000</v>
      </c>
      <c r="K16" s="1138">
        <f>-('SA30'!O43+'SA30'!O44)</f>
        <v>-4553700</v>
      </c>
      <c r="L16" s="2658">
        <f>-('SA30'!P43+'SA30'!P44)</f>
        <v>-4808707.2</v>
      </c>
    </row>
    <row r="17" spans="1:12" ht="11.25" customHeight="1" x14ac:dyDescent="0.25">
      <c r="A17" s="342" t="s">
        <v>693</v>
      </c>
      <c r="B17" s="343"/>
      <c r="C17" s="808">
        <f t="shared" ref="C17:L17" si="0">SUM(C6:C12)+SUM(C14:C16)</f>
        <v>78928400</v>
      </c>
      <c r="D17" s="808">
        <f t="shared" si="0"/>
        <v>78192634</v>
      </c>
      <c r="E17" s="809">
        <f t="shared" si="0"/>
        <v>150169872</v>
      </c>
      <c r="F17" s="810">
        <f t="shared" si="0"/>
        <v>91646619.207744002</v>
      </c>
      <c r="G17" s="808">
        <f t="shared" si="0"/>
        <v>-145162148.85999995</v>
      </c>
      <c r="H17" s="808">
        <f t="shared" si="0"/>
        <v>-145162148.85999995</v>
      </c>
      <c r="I17" s="811">
        <f t="shared" si="0"/>
        <v>48362124</v>
      </c>
      <c r="J17" s="1337">
        <f t="shared" si="0"/>
        <v>116339134.77999997</v>
      </c>
      <c r="K17" s="1333">
        <f t="shared" si="0"/>
        <v>123203143.73202002</v>
      </c>
      <c r="L17" s="1502">
        <f t="shared" si="0"/>
        <v>130102519.78101307</v>
      </c>
    </row>
    <row r="18" spans="1:12" ht="5.0999999999999996" customHeight="1" x14ac:dyDescent="0.25">
      <c r="A18" s="201"/>
      <c r="B18" s="293"/>
      <c r="C18" s="203"/>
      <c r="D18" s="203"/>
      <c r="E18" s="204"/>
      <c r="F18" s="205"/>
      <c r="G18" s="203"/>
      <c r="H18" s="203"/>
      <c r="I18" s="202"/>
      <c r="J18" s="1221"/>
      <c r="K18" s="1217"/>
      <c r="L18" s="2160"/>
    </row>
    <row r="19" spans="1:12" ht="11.25" customHeight="1" x14ac:dyDescent="0.25">
      <c r="A19" s="326" t="s">
        <v>296</v>
      </c>
      <c r="B19" s="293"/>
      <c r="C19" s="203"/>
      <c r="D19" s="203"/>
      <c r="E19" s="204"/>
      <c r="F19" s="205"/>
      <c r="G19" s="203"/>
      <c r="H19" s="203"/>
      <c r="I19" s="202"/>
      <c r="J19" s="1221"/>
      <c r="K19" s="1217"/>
      <c r="L19" s="2160"/>
    </row>
    <row r="20" spans="1:12" ht="11.25" customHeight="1" x14ac:dyDescent="0.25">
      <c r="A20" s="326" t="s">
        <v>825</v>
      </c>
      <c r="B20" s="293"/>
      <c r="C20" s="218"/>
      <c r="D20" s="218"/>
      <c r="E20" s="219"/>
      <c r="F20" s="220"/>
      <c r="G20" s="218"/>
      <c r="H20" s="218"/>
      <c r="I20" s="217"/>
      <c r="J20" s="2659"/>
      <c r="K20" s="2660"/>
      <c r="L20" s="2661"/>
    </row>
    <row r="21" spans="1:12" ht="11.25" customHeight="1" x14ac:dyDescent="0.25">
      <c r="A21" s="325" t="s">
        <v>1520</v>
      </c>
      <c r="B21" s="293"/>
      <c r="C21" s="1606">
        <v>438696</v>
      </c>
      <c r="D21" s="1606"/>
      <c r="E21" s="1628">
        <v>1502598</v>
      </c>
      <c r="F21" s="1633">
        <v>0</v>
      </c>
      <c r="G21" s="1633">
        <v>0</v>
      </c>
      <c r="H21" s="1633">
        <v>0</v>
      </c>
      <c r="I21" s="1633">
        <v>0</v>
      </c>
      <c r="J21" s="1464">
        <f>'SA30'!N25+'SA30'!N26</f>
        <v>0</v>
      </c>
      <c r="K21" s="1460">
        <f>'SA30'!O25+'SA30'!O26</f>
        <v>0</v>
      </c>
      <c r="L21" s="2662">
        <f>'SA30'!P25+'SA30'!P26</f>
        <v>0</v>
      </c>
    </row>
    <row r="22" spans="1:12" ht="11.25" customHeight="1" x14ac:dyDescent="0.25">
      <c r="A22" s="325" t="s">
        <v>1231</v>
      </c>
      <c r="B22" s="293"/>
      <c r="C22" s="1606"/>
      <c r="D22" s="1631"/>
      <c r="E22" s="1632">
        <v>0</v>
      </c>
      <c r="F22" s="1633">
        <v>0</v>
      </c>
      <c r="G22" s="1633">
        <v>0</v>
      </c>
      <c r="H22" s="1633">
        <v>0</v>
      </c>
      <c r="I22" s="1633">
        <v>0</v>
      </c>
      <c r="J22" s="1063">
        <f>'SA30'!N30</f>
        <v>0</v>
      </c>
      <c r="K22" s="1059">
        <f>'SA30'!O30</f>
        <v>0</v>
      </c>
      <c r="L22" s="1146">
        <f>'SA30'!P30</f>
        <v>0</v>
      </c>
    </row>
    <row r="23" spans="1:12" ht="11.25" customHeight="1" x14ac:dyDescent="0.25">
      <c r="A23" s="325" t="s">
        <v>691</v>
      </c>
      <c r="B23" s="293"/>
      <c r="C23" s="1631"/>
      <c r="D23" s="1606"/>
      <c r="E23" s="1632">
        <v>0</v>
      </c>
      <c r="F23" s="1633">
        <v>0</v>
      </c>
      <c r="G23" s="1633">
        <v>0</v>
      </c>
      <c r="H23" s="1633">
        <v>0</v>
      </c>
      <c r="I23" s="1633">
        <v>0</v>
      </c>
      <c r="J23" s="1464">
        <f>'SA30'!N31</f>
        <v>0</v>
      </c>
      <c r="K23" s="1460">
        <f>'SA30'!O31</f>
        <v>0</v>
      </c>
      <c r="L23" s="2662">
        <f>'SA30'!P31</f>
        <v>0</v>
      </c>
    </row>
    <row r="24" spans="1:12" ht="11.25" customHeight="1" x14ac:dyDescent="0.25">
      <c r="A24" s="325" t="s">
        <v>692</v>
      </c>
      <c r="B24" s="293"/>
      <c r="C24" s="1606"/>
      <c r="D24" s="1606"/>
      <c r="E24" s="1632">
        <v>0</v>
      </c>
      <c r="F24" s="1633">
        <v>0</v>
      </c>
      <c r="G24" s="1633">
        <v>0</v>
      </c>
      <c r="H24" s="1633">
        <v>0</v>
      </c>
      <c r="I24" s="1633">
        <v>0</v>
      </c>
      <c r="J24" s="1063">
        <f>'SA30'!N32</f>
        <v>0</v>
      </c>
      <c r="K24" s="1059">
        <f>'SA30'!O32</f>
        <v>0</v>
      </c>
      <c r="L24" s="1146">
        <f>'SA30'!P32</f>
        <v>0</v>
      </c>
    </row>
    <row r="25" spans="1:12" ht="11.25" customHeight="1" x14ac:dyDescent="0.25">
      <c r="A25" s="326" t="s">
        <v>826</v>
      </c>
      <c r="B25" s="293"/>
      <c r="C25" s="1286"/>
      <c r="D25" s="1286"/>
      <c r="E25" s="1326"/>
      <c r="F25" s="1327"/>
      <c r="G25" s="1286"/>
      <c r="H25" s="1286"/>
      <c r="I25" s="1328"/>
      <c r="J25" s="1063"/>
      <c r="K25" s="1059"/>
      <c r="L25" s="1146"/>
    </row>
    <row r="26" spans="1:12" ht="11.25" customHeight="1" x14ac:dyDescent="0.25">
      <c r="A26" s="190" t="s">
        <v>1472</v>
      </c>
      <c r="B26" s="293"/>
      <c r="C26" s="1606">
        <v>-91269400</v>
      </c>
      <c r="D26" s="1606">
        <v>-150915098</v>
      </c>
      <c r="E26" s="1628">
        <v>-113650291</v>
      </c>
      <c r="F26" s="1629">
        <v>-110819751.63</v>
      </c>
      <c r="G26" s="1606">
        <v>-111340502.91</v>
      </c>
      <c r="H26" s="1606">
        <v>-111340502.91</v>
      </c>
      <c r="I26" s="1630">
        <v>-10529960</v>
      </c>
      <c r="J26" s="1063">
        <f>-('SA30'!N49)</f>
        <v>-116339135</v>
      </c>
      <c r="K26" s="1059">
        <f>-('SA30'!O49)</f>
        <v>-122737787.425</v>
      </c>
      <c r="L26" s="1146">
        <f>-('SA30'!P49)</f>
        <v>-129242890.15852499</v>
      </c>
    </row>
    <row r="27" spans="1:12" ht="11.25" customHeight="1" x14ac:dyDescent="0.25">
      <c r="A27" s="342" t="s">
        <v>694</v>
      </c>
      <c r="B27" s="343"/>
      <c r="C27" s="808">
        <f>SUM(C21:C24)+C26</f>
        <v>-90830704</v>
      </c>
      <c r="D27" s="808">
        <f t="shared" ref="D27:L27" si="1">SUM(D21:D24)+D26</f>
        <v>-150915098</v>
      </c>
      <c r="E27" s="809">
        <f t="shared" si="1"/>
        <v>-112147693</v>
      </c>
      <c r="F27" s="810">
        <f t="shared" si="1"/>
        <v>-110819751.63</v>
      </c>
      <c r="G27" s="808">
        <f t="shared" si="1"/>
        <v>-111340502.91</v>
      </c>
      <c r="H27" s="808">
        <f t="shared" si="1"/>
        <v>-111340502.91</v>
      </c>
      <c r="I27" s="811">
        <f t="shared" si="1"/>
        <v>-10529960</v>
      </c>
      <c r="J27" s="1337">
        <f t="shared" si="1"/>
        <v>-116339135</v>
      </c>
      <c r="K27" s="1333">
        <f t="shared" si="1"/>
        <v>-122737787.425</v>
      </c>
      <c r="L27" s="1502">
        <f t="shared" si="1"/>
        <v>-129242890.15852499</v>
      </c>
    </row>
    <row r="28" spans="1:12" ht="5.0999999999999996" customHeight="1" x14ac:dyDescent="0.25">
      <c r="A28" s="201"/>
      <c r="B28" s="293"/>
      <c r="C28" s="203"/>
      <c r="D28" s="203"/>
      <c r="E28" s="204"/>
      <c r="F28" s="205"/>
      <c r="G28" s="203"/>
      <c r="H28" s="203"/>
      <c r="I28" s="202"/>
      <c r="J28" s="1221"/>
      <c r="K28" s="1217"/>
      <c r="L28" s="2160"/>
    </row>
    <row r="29" spans="1:12" ht="11.25" customHeight="1" x14ac:dyDescent="0.25">
      <c r="A29" s="326" t="s">
        <v>1283</v>
      </c>
      <c r="B29" s="293"/>
      <c r="C29" s="203"/>
      <c r="D29" s="203"/>
      <c r="E29" s="204"/>
      <c r="F29" s="205"/>
      <c r="G29" s="203"/>
      <c r="H29" s="203"/>
      <c r="I29" s="202"/>
      <c r="J29" s="1221"/>
      <c r="K29" s="1217"/>
      <c r="L29" s="2160"/>
    </row>
    <row r="30" spans="1:12" ht="11.25" customHeight="1" x14ac:dyDescent="0.25">
      <c r="A30" s="326" t="s">
        <v>825</v>
      </c>
      <c r="B30" s="293"/>
      <c r="C30" s="203"/>
      <c r="D30" s="203"/>
      <c r="E30" s="204"/>
      <c r="F30" s="205"/>
      <c r="G30" s="203"/>
      <c r="H30" s="203"/>
      <c r="I30" s="202"/>
      <c r="J30" s="1221"/>
      <c r="K30" s="1217"/>
      <c r="L30" s="2160"/>
    </row>
    <row r="31" spans="1:12" ht="11.25" customHeight="1" x14ac:dyDescent="0.25">
      <c r="A31" s="190" t="s">
        <v>828</v>
      </c>
      <c r="B31" s="293"/>
      <c r="C31" s="1606">
        <v>0</v>
      </c>
      <c r="D31" s="1606">
        <v>0</v>
      </c>
      <c r="E31" s="1606">
        <v>0</v>
      </c>
      <c r="F31" s="1606">
        <v>0</v>
      </c>
      <c r="G31" s="1606">
        <v>0</v>
      </c>
      <c r="H31" s="1606">
        <v>0</v>
      </c>
      <c r="I31" s="1606">
        <v>0</v>
      </c>
      <c r="J31" s="1063">
        <f>'SA30'!N27</f>
        <v>0</v>
      </c>
      <c r="K31" s="1059">
        <f>'SA30'!O27</f>
        <v>0</v>
      </c>
      <c r="L31" s="1146">
        <f>'SA30'!P27</f>
        <v>0</v>
      </c>
    </row>
    <row r="32" spans="1:12" ht="11.25" customHeight="1" x14ac:dyDescent="0.25">
      <c r="A32" s="325" t="s">
        <v>793</v>
      </c>
      <c r="B32" s="293"/>
      <c r="C32" s="1606">
        <v>0</v>
      </c>
      <c r="D32" s="1606">
        <v>0</v>
      </c>
      <c r="E32" s="1606">
        <v>0</v>
      </c>
      <c r="F32" s="1606">
        <v>0</v>
      </c>
      <c r="G32" s="1606">
        <v>0</v>
      </c>
      <c r="H32" s="1606">
        <v>0</v>
      </c>
      <c r="I32" s="1606">
        <v>0</v>
      </c>
      <c r="J32" s="1063">
        <f>'SA30'!N28</f>
        <v>0</v>
      </c>
      <c r="K32" s="1059">
        <f>'SA30'!O28</f>
        <v>0</v>
      </c>
      <c r="L32" s="1146">
        <f>'SA30'!P28</f>
        <v>0</v>
      </c>
    </row>
    <row r="33" spans="1:16" ht="11.25" customHeight="1" x14ac:dyDescent="0.25">
      <c r="A33" s="325" t="s">
        <v>384</v>
      </c>
      <c r="B33" s="293"/>
      <c r="C33" s="1606">
        <v>0</v>
      </c>
      <c r="D33" s="1606">
        <v>0</v>
      </c>
      <c r="E33" s="1606">
        <v>0</v>
      </c>
      <c r="F33" s="1606">
        <v>0</v>
      </c>
      <c r="G33" s="1606">
        <v>0</v>
      </c>
      <c r="H33" s="1606">
        <v>0</v>
      </c>
      <c r="I33" s="1606">
        <v>0</v>
      </c>
      <c r="J33" s="1063">
        <f>'SA30'!N29</f>
        <v>0</v>
      </c>
      <c r="K33" s="1059">
        <f>'SA30'!O29</f>
        <v>0</v>
      </c>
      <c r="L33" s="1146">
        <f>'SA30'!P29</f>
        <v>0</v>
      </c>
    </row>
    <row r="34" spans="1:16" ht="11.25" customHeight="1" x14ac:dyDescent="0.25">
      <c r="A34" s="333" t="s">
        <v>826</v>
      </c>
      <c r="B34" s="293"/>
      <c r="C34" s="1286"/>
      <c r="D34" s="1286"/>
      <c r="E34" s="1326"/>
      <c r="F34" s="1327"/>
      <c r="G34" s="1286"/>
      <c r="H34" s="1286"/>
      <c r="I34" s="1328"/>
      <c r="J34" s="1063"/>
      <c r="K34" s="1059"/>
      <c r="L34" s="1146"/>
    </row>
    <row r="35" spans="1:16" ht="11.25" customHeight="1" x14ac:dyDescent="0.25">
      <c r="A35" s="325" t="s">
        <v>827</v>
      </c>
      <c r="B35" s="293"/>
      <c r="C35" s="1606">
        <v>0</v>
      </c>
      <c r="D35" s="1606">
        <v>0</v>
      </c>
      <c r="E35" s="1628">
        <v>0</v>
      </c>
      <c r="F35" s="1629">
        <v>0</v>
      </c>
      <c r="G35" s="1606">
        <v>0</v>
      </c>
      <c r="H35" s="1606">
        <v>0</v>
      </c>
      <c r="I35" s="1630">
        <v>0</v>
      </c>
      <c r="J35" s="1063">
        <f>-('SA30'!N50)</f>
        <v>0</v>
      </c>
      <c r="K35" s="1059">
        <f>-('SA30'!O50)</f>
        <v>0</v>
      </c>
      <c r="L35" s="1146">
        <f>-('SA30'!P50)</f>
        <v>0</v>
      </c>
    </row>
    <row r="36" spans="1:16" ht="11.25" customHeight="1" x14ac:dyDescent="0.25">
      <c r="A36" s="342" t="s">
        <v>824</v>
      </c>
      <c r="B36" s="343"/>
      <c r="C36" s="808">
        <f>SUM(C31:C33)+C35</f>
        <v>0</v>
      </c>
      <c r="D36" s="808">
        <f t="shared" ref="D36:L36" si="2">SUM(D31:D33)+D35</f>
        <v>0</v>
      </c>
      <c r="E36" s="809">
        <f t="shared" si="2"/>
        <v>0</v>
      </c>
      <c r="F36" s="810">
        <f t="shared" si="2"/>
        <v>0</v>
      </c>
      <c r="G36" s="808">
        <f t="shared" si="2"/>
        <v>0</v>
      </c>
      <c r="H36" s="808">
        <f t="shared" si="2"/>
        <v>0</v>
      </c>
      <c r="I36" s="811">
        <f t="shared" si="2"/>
        <v>0</v>
      </c>
      <c r="J36" s="1337">
        <f t="shared" si="2"/>
        <v>0</v>
      </c>
      <c r="K36" s="1333">
        <f t="shared" si="2"/>
        <v>0</v>
      </c>
      <c r="L36" s="1502">
        <f t="shared" si="2"/>
        <v>0</v>
      </c>
    </row>
    <row r="37" spans="1:16" ht="5.0999999999999996" customHeight="1" x14ac:dyDescent="0.25">
      <c r="A37" s="201"/>
      <c r="B37" s="293"/>
      <c r="C37" s="203"/>
      <c r="D37" s="203"/>
      <c r="E37" s="204"/>
      <c r="F37" s="205"/>
      <c r="G37" s="203"/>
      <c r="H37" s="203"/>
      <c r="I37" s="202"/>
      <c r="J37" s="1221"/>
      <c r="K37" s="1217"/>
      <c r="L37" s="2160"/>
    </row>
    <row r="38" spans="1:16" ht="11.25" customHeight="1" x14ac:dyDescent="0.25">
      <c r="A38" s="326" t="s">
        <v>1555</v>
      </c>
      <c r="B38" s="293"/>
      <c r="C38" s="218">
        <f>C17+C27+C36</f>
        <v>-11902304</v>
      </c>
      <c r="D38" s="218">
        <f t="shared" ref="D38:L38" si="3">D17+D27+D36</f>
        <v>-72722464</v>
      </c>
      <c r="E38" s="219">
        <f t="shared" si="3"/>
        <v>38022179</v>
      </c>
      <c r="F38" s="220">
        <f t="shared" si="3"/>
        <v>-19173132.422255993</v>
      </c>
      <c r="G38" s="218">
        <f t="shared" si="3"/>
        <v>-256502651.76999995</v>
      </c>
      <c r="H38" s="218">
        <f t="shared" si="3"/>
        <v>-256502651.76999995</v>
      </c>
      <c r="I38" s="217">
        <f t="shared" si="3"/>
        <v>37832164</v>
      </c>
      <c r="J38" s="2659">
        <f t="shared" si="3"/>
        <v>-0.22000002861022949</v>
      </c>
      <c r="K38" s="2660">
        <f t="shared" si="3"/>
        <v>465356.30702002347</v>
      </c>
      <c r="L38" s="2661">
        <f t="shared" si="3"/>
        <v>859629.62248808146</v>
      </c>
    </row>
    <row r="39" spans="1:16" ht="11.25" customHeight="1" x14ac:dyDescent="0.25">
      <c r="A39" s="190" t="s">
        <v>930</v>
      </c>
      <c r="B39" s="293">
        <v>2</v>
      </c>
      <c r="C39" s="1641">
        <v>84583880</v>
      </c>
      <c r="D39" s="1641">
        <v>75911716</v>
      </c>
      <c r="E39" s="1641">
        <v>3189252</v>
      </c>
      <c r="F39" s="1643">
        <v>49726000</v>
      </c>
      <c r="G39" s="1641">
        <v>92930356</v>
      </c>
      <c r="H39" s="1641">
        <v>92930356</v>
      </c>
      <c r="I39" s="1641">
        <v>41211430</v>
      </c>
      <c r="J39" s="1130">
        <f>'SA30'!N55</f>
        <v>100000</v>
      </c>
      <c r="K39" s="2660">
        <f>J40</f>
        <v>99999.77999997139</v>
      </c>
      <c r="L39" s="2661">
        <f>K40</f>
        <v>565356.08701999485</v>
      </c>
    </row>
    <row r="40" spans="1:16" ht="11.25" customHeight="1" x14ac:dyDescent="0.25">
      <c r="A40" s="1310" t="s">
        <v>1271</v>
      </c>
      <c r="B40" s="347">
        <v>2</v>
      </c>
      <c r="C40" s="283">
        <f>C38+C39</f>
        <v>72681576</v>
      </c>
      <c r="D40" s="348">
        <f>D38+D39</f>
        <v>3189252</v>
      </c>
      <c r="E40" s="284">
        <f>E38+E39</f>
        <v>41211431</v>
      </c>
      <c r="F40" s="285">
        <f t="shared" ref="F40:L40" si="4">F38+F39</f>
        <v>30552867.577744007</v>
      </c>
      <c r="G40" s="283">
        <f t="shared" si="4"/>
        <v>-163572295.76999995</v>
      </c>
      <c r="H40" s="283">
        <f t="shared" si="4"/>
        <v>-163572295.76999995</v>
      </c>
      <c r="I40" s="1019">
        <f t="shared" si="4"/>
        <v>79043594</v>
      </c>
      <c r="J40" s="2663">
        <f t="shared" si="4"/>
        <v>99999.77999997139</v>
      </c>
      <c r="K40" s="2664">
        <f t="shared" si="4"/>
        <v>565356.08701999485</v>
      </c>
      <c r="L40" s="2665">
        <f t="shared" si="4"/>
        <v>1424985.7095080763</v>
      </c>
    </row>
    <row r="41" spans="1:16" s="708" customFormat="1" ht="11.25" customHeight="1" x14ac:dyDescent="0.25">
      <c r="A41" s="1228" t="str">
        <f>head27a</f>
        <v>References</v>
      </c>
      <c r="B41" s="1229"/>
      <c r="C41" s="1233"/>
      <c r="D41" s="1231"/>
      <c r="E41" s="1233"/>
      <c r="F41" s="1233"/>
      <c r="G41" s="1233"/>
      <c r="H41" s="1233"/>
      <c r="I41" s="1233"/>
      <c r="J41" s="1233"/>
      <c r="K41" s="1233"/>
      <c r="L41" s="1233"/>
      <c r="M41" s="149"/>
      <c r="N41" s="149"/>
      <c r="O41" s="149"/>
      <c r="P41" s="149"/>
    </row>
    <row r="42" spans="1:16" s="708" customFormat="1" ht="11.25" customHeight="1" x14ac:dyDescent="0.25">
      <c r="A42" s="1190" t="s">
        <v>1118</v>
      </c>
      <c r="B42" s="1229"/>
      <c r="C42" s="1233"/>
      <c r="D42" s="1231"/>
      <c r="E42" s="1233"/>
      <c r="F42" s="1233"/>
      <c r="G42" s="1233"/>
      <c r="H42" s="1233"/>
      <c r="I42" s="1233"/>
      <c r="J42" s="1233"/>
      <c r="K42" s="1233"/>
      <c r="L42" s="1233"/>
      <c r="M42" s="149"/>
      <c r="N42" s="149"/>
      <c r="O42" s="149"/>
      <c r="P42" s="149"/>
    </row>
    <row r="43" spans="1:16" s="708" customFormat="1" ht="11.25" customHeight="1" x14ac:dyDescent="0.25">
      <c r="A43" s="1190" t="s">
        <v>931</v>
      </c>
      <c r="B43" s="1229"/>
      <c r="C43" s="1232"/>
      <c r="D43" s="1232"/>
      <c r="E43" s="1233"/>
      <c r="F43" s="1233"/>
      <c r="G43" s="1233"/>
      <c r="H43" s="1233"/>
      <c r="I43" s="1233"/>
      <c r="J43" s="1233"/>
      <c r="K43" s="1233"/>
      <c r="L43" s="1233"/>
      <c r="N43" s="149"/>
      <c r="O43" s="149"/>
      <c r="P43" s="149"/>
    </row>
    <row r="44" spans="1:16" ht="11.25" customHeight="1" x14ac:dyDescent="0.25">
      <c r="A44" s="2655" t="s">
        <v>2277</v>
      </c>
      <c r="B44" s="1189"/>
      <c r="C44" s="1235"/>
      <c r="D44" s="1235"/>
      <c r="E44" s="1261"/>
      <c r="F44" s="1236"/>
      <c r="G44" s="1236"/>
      <c r="H44" s="1236"/>
      <c r="I44" s="1236"/>
      <c r="J44" s="1236"/>
      <c r="K44" s="1236"/>
      <c r="L44" s="1236"/>
    </row>
    <row r="45" spans="1:16" ht="11.25" customHeight="1" x14ac:dyDescent="0.25">
      <c r="A45" s="1260" t="s">
        <v>617</v>
      </c>
      <c r="B45" s="1229"/>
      <c r="C45" s="1220">
        <f t="shared" ref="C45:L45" si="5">SUM(C6:C12)+SUM(C21:C23)</f>
        <v>350102096</v>
      </c>
      <c r="D45" s="1220">
        <f t="shared" si="5"/>
        <v>392165695</v>
      </c>
      <c r="E45" s="1220">
        <f t="shared" si="5"/>
        <v>599720204</v>
      </c>
      <c r="F45" s="1220">
        <f t="shared" si="5"/>
        <v>403768735.85600001</v>
      </c>
      <c r="G45" s="1220">
        <f t="shared" si="5"/>
        <v>402950840.69999999</v>
      </c>
      <c r="H45" s="1220">
        <f t="shared" si="5"/>
        <v>402950840.69999999</v>
      </c>
      <c r="I45" s="1220">
        <f t="shared" si="5"/>
        <v>251189303</v>
      </c>
      <c r="J45" s="1220">
        <f t="shared" si="5"/>
        <v>510583986.41999996</v>
      </c>
      <c r="K45" s="1220">
        <f t="shared" si="5"/>
        <v>540708441.61878002</v>
      </c>
      <c r="L45" s="1220">
        <f t="shared" si="5"/>
        <v>570988114.34943163</v>
      </c>
    </row>
    <row r="46" spans="1:16" ht="11.25" customHeight="1" x14ac:dyDescent="0.25">
      <c r="A46" s="1260" t="s">
        <v>265</v>
      </c>
      <c r="B46" s="1229"/>
      <c r="C46" s="1220">
        <f>SUM(C14:C16)+C26</f>
        <v>-362004400</v>
      </c>
      <c r="D46" s="1220">
        <f t="shared" ref="D46:L46" si="6">SUM(D14:D16)+D26</f>
        <v>-464888159</v>
      </c>
      <c r="E46" s="1220">
        <f t="shared" si="6"/>
        <v>-561698025</v>
      </c>
      <c r="F46" s="1220">
        <f t="shared" si="6"/>
        <v>-422941868.278256</v>
      </c>
      <c r="G46" s="1220">
        <f t="shared" si="6"/>
        <v>-659453492.46999991</v>
      </c>
      <c r="H46" s="1220">
        <f t="shared" si="6"/>
        <v>-659453492.46999991</v>
      </c>
      <c r="I46" s="1220">
        <f t="shared" si="6"/>
        <v>-213357139</v>
      </c>
      <c r="J46" s="1220">
        <f t="shared" si="6"/>
        <v>-510583986.63999999</v>
      </c>
      <c r="K46" s="1220">
        <f t="shared" si="6"/>
        <v>-540243085.31175995</v>
      </c>
      <c r="L46" s="1220">
        <f t="shared" si="6"/>
        <v>-570128484.72694349</v>
      </c>
    </row>
    <row r="47" spans="1:16" ht="11.25" customHeight="1" x14ac:dyDescent="0.25">
      <c r="A47" s="1260"/>
      <c r="B47" s="1229"/>
      <c r="C47" s="1220">
        <f>C45+C46</f>
        <v>-11902304</v>
      </c>
      <c r="D47" s="1220">
        <f t="shared" ref="D47:L47" si="7">D45+D46</f>
        <v>-72722464</v>
      </c>
      <c r="E47" s="1220">
        <f t="shared" si="7"/>
        <v>38022179</v>
      </c>
      <c r="F47" s="1220">
        <f t="shared" si="7"/>
        <v>-19173132.422255993</v>
      </c>
      <c r="G47" s="1220">
        <f t="shared" si="7"/>
        <v>-256502651.76999992</v>
      </c>
      <c r="H47" s="1220">
        <f t="shared" si="7"/>
        <v>-256502651.76999992</v>
      </c>
      <c r="I47" s="1220">
        <f t="shared" si="7"/>
        <v>37832164</v>
      </c>
      <c r="J47" s="1220">
        <f t="shared" si="7"/>
        <v>-0.22000002861022949</v>
      </c>
      <c r="K47" s="1220">
        <f t="shared" si="7"/>
        <v>465356.30702006817</v>
      </c>
      <c r="L47" s="1220">
        <f t="shared" si="7"/>
        <v>859629.62248814106</v>
      </c>
    </row>
    <row r="48" spans="1:16" ht="11.25" customHeight="1" x14ac:dyDescent="0.25">
      <c r="A48" s="1260" t="s">
        <v>343</v>
      </c>
      <c r="B48" s="703"/>
      <c r="C48" s="1220">
        <f>C24+C32+C33</f>
        <v>0</v>
      </c>
      <c r="D48" s="1220">
        <f t="shared" ref="D48:L48" si="8">D24+D32+D33</f>
        <v>0</v>
      </c>
      <c r="E48" s="1220">
        <f t="shared" si="8"/>
        <v>0</v>
      </c>
      <c r="F48" s="1220">
        <f t="shared" si="8"/>
        <v>0</v>
      </c>
      <c r="G48" s="1220">
        <f t="shared" si="8"/>
        <v>0</v>
      </c>
      <c r="H48" s="1220">
        <f t="shared" si="8"/>
        <v>0</v>
      </c>
      <c r="I48" s="1220">
        <f t="shared" si="8"/>
        <v>0</v>
      </c>
      <c r="J48" s="1220">
        <f t="shared" si="8"/>
        <v>0</v>
      </c>
      <c r="K48" s="1220">
        <f t="shared" si="8"/>
        <v>0</v>
      </c>
      <c r="L48" s="1220">
        <f t="shared" si="8"/>
        <v>0</v>
      </c>
    </row>
    <row r="49" spans="1:12" ht="11.25" customHeight="1" x14ac:dyDescent="0.25">
      <c r="A49" s="1260" t="str">
        <f>A35</f>
        <v>Repayment of borrowing</v>
      </c>
      <c r="B49" s="703"/>
      <c r="C49" s="1220">
        <f>C35</f>
        <v>0</v>
      </c>
      <c r="D49" s="1220">
        <f t="shared" ref="D49:L49" si="9">D35</f>
        <v>0</v>
      </c>
      <c r="E49" s="1220">
        <f t="shared" si="9"/>
        <v>0</v>
      </c>
      <c r="F49" s="1220">
        <f t="shared" si="9"/>
        <v>0</v>
      </c>
      <c r="G49" s="1220">
        <f t="shared" si="9"/>
        <v>0</v>
      </c>
      <c r="H49" s="1220">
        <f t="shared" si="9"/>
        <v>0</v>
      </c>
      <c r="I49" s="1220">
        <f>I35</f>
        <v>0</v>
      </c>
      <c r="J49" s="1220">
        <f t="shared" si="9"/>
        <v>0</v>
      </c>
      <c r="K49" s="1220">
        <f t="shared" si="9"/>
        <v>0</v>
      </c>
      <c r="L49" s="1220">
        <f t="shared" si="9"/>
        <v>0</v>
      </c>
    </row>
    <row r="50" spans="1:12" ht="11.25" customHeight="1" x14ac:dyDescent="0.25">
      <c r="A50" s="706"/>
      <c r="B50" s="703"/>
      <c r="C50" s="1220">
        <f>C47+C48+C49</f>
        <v>-11902304</v>
      </c>
      <c r="D50" s="1220">
        <f t="shared" ref="D50:L50" si="10">D47+D48+D49</f>
        <v>-72722464</v>
      </c>
      <c r="E50" s="1220">
        <f t="shared" si="10"/>
        <v>38022179</v>
      </c>
      <c r="F50" s="1220">
        <f t="shared" si="10"/>
        <v>-19173132.422255993</v>
      </c>
      <c r="G50" s="1220">
        <f t="shared" si="10"/>
        <v>-256502651.76999992</v>
      </c>
      <c r="H50" s="1220">
        <f t="shared" si="10"/>
        <v>-256502651.76999992</v>
      </c>
      <c r="I50" s="1220">
        <f t="shared" si="10"/>
        <v>37832164</v>
      </c>
      <c r="J50" s="1220">
        <f t="shared" si="10"/>
        <v>-0.22000002861022949</v>
      </c>
      <c r="K50" s="1220">
        <f t="shared" si="10"/>
        <v>465356.30702006817</v>
      </c>
      <c r="L50" s="1220">
        <f t="shared" si="10"/>
        <v>859629.62248814106</v>
      </c>
    </row>
    <row r="51" spans="1:12" ht="11.25" customHeight="1" x14ac:dyDescent="0.25">
      <c r="A51" s="706"/>
      <c r="B51" s="703"/>
      <c r="C51" s="1264">
        <f t="shared" ref="C51:L51" si="11">C38-C50</f>
        <v>0</v>
      </c>
      <c r="D51" s="1264">
        <f t="shared" si="11"/>
        <v>0</v>
      </c>
      <c r="E51" s="1264">
        <f t="shared" si="11"/>
        <v>0</v>
      </c>
      <c r="F51" s="1264">
        <f t="shared" si="11"/>
        <v>0</v>
      </c>
      <c r="G51" s="1264">
        <f t="shared" si="11"/>
        <v>0</v>
      </c>
      <c r="H51" s="1264">
        <f t="shared" si="11"/>
        <v>0</v>
      </c>
      <c r="I51" s="1264">
        <f t="shared" si="11"/>
        <v>0</v>
      </c>
      <c r="J51" s="1264">
        <f t="shared" si="11"/>
        <v>0</v>
      </c>
      <c r="K51" s="1264">
        <f t="shared" si="11"/>
        <v>-4.4703483581542969E-8</v>
      </c>
      <c r="L51" s="1264">
        <f t="shared" si="11"/>
        <v>-5.9604644775390625E-8</v>
      </c>
    </row>
    <row r="52" spans="1:12" ht="11.25" customHeight="1" x14ac:dyDescent="0.25"/>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sheet="1" objects="1" scenarios="1"/>
  <customSheetViews>
    <customSheetView guid="{F50C5479-5CC4-4FD7-8319-543D29E829F0}" showGridLines="0" fitToPage="1">
      <pane xSplit="2" ySplit="3" topLeftCell="C21" activePane="bottomRight" state="frozen"/>
      <selection pane="bottomRight" activeCell="C39" sqref="C39"/>
      <pageMargins left="0" right="0" top="0.78740157480314965" bottom="0.59055118110236227" header="0.51181102362204722" footer="0.39370078740157483"/>
      <printOptions horizontalCentered="1"/>
      <pageSetup paperSize="9" scale="81" orientation="portrait" r:id="rId1"/>
      <headerFooter alignWithMargins="0"/>
    </customSheetView>
  </customSheetViews>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85"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4"/>
  </sheetPr>
  <dimension ref="A1:N98"/>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F12" sqref="F12"/>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"&amp;Approve8</f>
        <v>MP315 Thembisile Hani - Table A8 Cash backed reserves/accumulated surplus reconciliation</v>
      </c>
      <c r="B1" s="147"/>
      <c r="C1" s="147"/>
      <c r="D1" s="147"/>
      <c r="E1" s="147"/>
      <c r="F1" s="147"/>
      <c r="G1" s="147"/>
      <c r="H1" s="147"/>
      <c r="I1" s="147"/>
      <c r="J1" s="147"/>
      <c r="K1" s="147"/>
      <c r="L1" s="147"/>
    </row>
    <row r="2" spans="1:12" ht="28.5" customHeight="1" x14ac:dyDescent="0.25">
      <c r="A2" s="970" t="str">
        <f>desc</f>
        <v>Description</v>
      </c>
      <c r="B2" s="418"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2" ht="25.5" x14ac:dyDescent="0.25">
      <c r="A3" s="180" t="s">
        <v>662</v>
      </c>
      <c r="B3" s="985"/>
      <c r="C3" s="389" t="str">
        <f>Head5</f>
        <v>Audited Outcome</v>
      </c>
      <c r="D3" s="389" t="str">
        <f>Head5</f>
        <v>Audited Outcome</v>
      </c>
      <c r="E3" s="390" t="str">
        <f>Head5</f>
        <v>Audited Outcome</v>
      </c>
      <c r="F3" s="299" t="str">
        <f>Head6</f>
        <v>Original Budget</v>
      </c>
      <c r="G3" s="389" t="str">
        <f>Head7</f>
        <v>Adjusted Budget</v>
      </c>
      <c r="H3" s="390" t="str">
        <f>Head8</f>
        <v>Full Year Forecast</v>
      </c>
      <c r="I3" s="388" t="str">
        <f>Head5b</f>
        <v>Pre-audit outcome</v>
      </c>
      <c r="J3" s="299" t="str">
        <f>Head9</f>
        <v>Budget Year 2015/16</v>
      </c>
      <c r="K3" s="389" t="str">
        <f>Head10</f>
        <v>Budget Year +1 2016/17</v>
      </c>
      <c r="L3" s="390" t="str">
        <f>Head11</f>
        <v>Budget Year +2 2017/18</v>
      </c>
    </row>
    <row r="4" spans="1:12" x14ac:dyDescent="0.25">
      <c r="A4" s="249" t="s">
        <v>1203</v>
      </c>
      <c r="B4" s="350"/>
      <c r="C4" s="207"/>
      <c r="D4" s="207"/>
      <c r="E4" s="264"/>
      <c r="F4" s="251"/>
      <c r="G4" s="207"/>
      <c r="H4" s="264"/>
      <c r="I4" s="210"/>
      <c r="J4" s="351"/>
      <c r="K4" s="207"/>
      <c r="L4" s="264"/>
    </row>
    <row r="5" spans="1:12" ht="11.25" customHeight="1" x14ac:dyDescent="0.25">
      <c r="A5" s="250" t="str">
        <f>LEFT('A7-CFlow'!A40,37)</f>
        <v>Cash/cash equivalents at the year end</v>
      </c>
      <c r="B5" s="350">
        <v>1</v>
      </c>
      <c r="C5" s="207">
        <f>'A7-CFlow'!C40</f>
        <v>72681576</v>
      </c>
      <c r="D5" s="207">
        <f>'A7-CFlow'!D40</f>
        <v>3189252</v>
      </c>
      <c r="E5" s="264">
        <f>'A7-CFlow'!E40</f>
        <v>41211431</v>
      </c>
      <c r="F5" s="251">
        <f>'A7-CFlow'!F40</f>
        <v>30552867.577744007</v>
      </c>
      <c r="G5" s="207">
        <f>'A7-CFlow'!G40</f>
        <v>-163572295.76999995</v>
      </c>
      <c r="H5" s="264">
        <f>'A7-CFlow'!H40</f>
        <v>-163572295.76999995</v>
      </c>
      <c r="I5" s="210">
        <f>'A7-CFlow'!I40</f>
        <v>79043594</v>
      </c>
      <c r="J5" s="211">
        <f>'A7-CFlow'!J40</f>
        <v>99999.77999997139</v>
      </c>
      <c r="K5" s="207">
        <f>'A7-CFlow'!K40</f>
        <v>565356.08701999485</v>
      </c>
      <c r="L5" s="264">
        <f>'A7-CFlow'!L40</f>
        <v>1424985.7095080763</v>
      </c>
    </row>
    <row r="6" spans="1:12" ht="11.25" customHeight="1" x14ac:dyDescent="0.25">
      <c r="A6" s="190" t="s">
        <v>1551</v>
      </c>
      <c r="B6" s="350"/>
      <c r="C6" s="207">
        <f>'A6-FinPos'!C6+'A6-FinPos'!C7-'A6-FinPos'!C29-'A8-ResRecon'!C5</f>
        <v>424</v>
      </c>
      <c r="D6" s="207">
        <f>'A6-FinPos'!D6+'A6-FinPos'!D7-'A6-FinPos'!D29-'A8-ResRecon'!D5</f>
        <v>0</v>
      </c>
      <c r="E6" s="264">
        <f>'A6-FinPos'!E6+'A6-FinPos'!E7-'A6-FinPos'!E29-'A8-ResRecon'!E5</f>
        <v>0</v>
      </c>
      <c r="F6" s="251">
        <f>'A6-FinPos'!F6+'A6-FinPos'!F7-'A6-FinPos'!F29-'A8-ResRecon'!F5</f>
        <v>-143.7477440237999</v>
      </c>
      <c r="G6" s="207">
        <f>'A6-FinPos'!G6+'A6-FinPos'!G7-'A6-FinPos'!G29-'A8-ResRecon'!G5</f>
        <v>-0.40000006556510925</v>
      </c>
      <c r="H6" s="264">
        <f>'A6-FinPos'!H6+'A6-FinPos'!H7-'A6-FinPos'!H29-'A8-ResRecon'!H5</f>
        <v>-0.40000006556510925</v>
      </c>
      <c r="I6" s="210">
        <f>'A6-FinPos'!I6+'A6-FinPos'!I7-'A6-FinPos'!I29-'A8-ResRecon'!I5</f>
        <v>-25981048</v>
      </c>
      <c r="J6" s="211">
        <f>'A6-FinPos'!J6+'A6-FinPos'!J7-'A6-FinPos'!J29-'A8-ResRecon'!J5</f>
        <v>2468986.65</v>
      </c>
      <c r="K6" s="207">
        <f>'A6-FinPos'!K6+'A6-FinPos'!K7-'A6-FinPos'!K29-'A8-ResRecon'!K5</f>
        <v>2155200.5423499746</v>
      </c>
      <c r="L6" s="264">
        <f>'A6-FinPos'!L6+'A6-FinPos'!L7-'A6-FinPos'!L29-'A8-ResRecon'!L5</f>
        <v>1447922.0911066113</v>
      </c>
    </row>
    <row r="7" spans="1:12" ht="11.25" customHeight="1" x14ac:dyDescent="0.25">
      <c r="A7" s="250" t="str">
        <f>'A6-FinPos'!A14&amp;" - "&amp;'A6-FinPos'!A16</f>
        <v>Non current assets - Investments</v>
      </c>
      <c r="B7" s="350">
        <v>1</v>
      </c>
      <c r="C7" s="207">
        <f>'A6-FinPos'!C16</f>
        <v>0</v>
      </c>
      <c r="D7" s="207">
        <f>'A6-FinPos'!D16</f>
        <v>0</v>
      </c>
      <c r="E7" s="264">
        <f>'A6-FinPos'!E16</f>
        <v>0</v>
      </c>
      <c r="F7" s="258">
        <f>'A6-FinPos'!F16</f>
        <v>0</v>
      </c>
      <c r="G7" s="256">
        <f>'A6-FinPos'!G16</f>
        <v>0</v>
      </c>
      <c r="H7" s="262">
        <f>'A6-FinPos'!H16</f>
        <v>0</v>
      </c>
      <c r="I7" s="210">
        <f>'A6-FinPos'!I16</f>
        <v>0</v>
      </c>
      <c r="J7" s="263">
        <f>'A6-FinPos'!J16</f>
        <v>0</v>
      </c>
      <c r="K7" s="256">
        <f>'A6-FinPos'!K16</f>
        <v>0</v>
      </c>
      <c r="L7" s="262">
        <f>'A6-FinPos'!L16</f>
        <v>0</v>
      </c>
    </row>
    <row r="8" spans="1:12" ht="11.25" customHeight="1" x14ac:dyDescent="0.25">
      <c r="A8" s="792" t="s">
        <v>1204</v>
      </c>
      <c r="B8" s="807"/>
      <c r="C8" s="808">
        <f>SUM(C5:C7)</f>
        <v>72682000</v>
      </c>
      <c r="D8" s="808">
        <f t="shared" ref="D8:L8" si="0">SUM(D5:D7)</f>
        <v>3189252</v>
      </c>
      <c r="E8" s="809">
        <f t="shared" si="0"/>
        <v>41211431</v>
      </c>
      <c r="F8" s="810">
        <f t="shared" si="0"/>
        <v>30552723.829999983</v>
      </c>
      <c r="G8" s="808">
        <f t="shared" si="0"/>
        <v>-163572296.17000002</v>
      </c>
      <c r="H8" s="809">
        <f t="shared" si="0"/>
        <v>-163572296.17000002</v>
      </c>
      <c r="I8" s="811">
        <f t="shared" si="0"/>
        <v>53062546</v>
      </c>
      <c r="J8" s="1103">
        <f t="shared" si="0"/>
        <v>2568986.4299999713</v>
      </c>
      <c r="K8" s="808">
        <f t="shared" si="0"/>
        <v>2720556.6293699695</v>
      </c>
      <c r="L8" s="809">
        <f t="shared" si="0"/>
        <v>2872907.8006146876</v>
      </c>
    </row>
    <row r="9" spans="1:12" ht="5.0999999999999996" customHeight="1" x14ac:dyDescent="0.25">
      <c r="A9" s="273"/>
      <c r="B9" s="350"/>
      <c r="C9" s="207"/>
      <c r="D9" s="207"/>
      <c r="E9" s="264"/>
      <c r="F9" s="251"/>
      <c r="G9" s="207"/>
      <c r="H9" s="264"/>
      <c r="I9" s="210"/>
      <c r="J9" s="211"/>
      <c r="K9" s="207"/>
      <c r="L9" s="264"/>
    </row>
    <row r="10" spans="1:12" ht="11.25" customHeight="1" x14ac:dyDescent="0.25">
      <c r="A10" s="249" t="s">
        <v>1119</v>
      </c>
      <c r="B10" s="350"/>
      <c r="C10" s="207"/>
      <c r="D10" s="207"/>
      <c r="E10" s="264"/>
      <c r="F10" s="251"/>
      <c r="G10" s="207"/>
      <c r="H10" s="264"/>
      <c r="I10" s="210"/>
      <c r="J10" s="211"/>
      <c r="K10" s="207"/>
      <c r="L10" s="264"/>
    </row>
    <row r="11" spans="1:12" ht="11.25" customHeight="1" x14ac:dyDescent="0.25">
      <c r="A11" s="250" t="str">
        <f>'SA3'!A36</f>
        <v>Unspent conditional transfers</v>
      </c>
      <c r="B11" s="350"/>
      <c r="C11" s="256">
        <f>'SA3'!C36</f>
        <v>0</v>
      </c>
      <c r="D11" s="207">
        <f>'SA3'!D36</f>
        <v>0</v>
      </c>
      <c r="E11" s="264">
        <f>'SA3'!E36</f>
        <v>0</v>
      </c>
      <c r="F11" s="251">
        <f>'SA3'!F36</f>
        <v>0</v>
      </c>
      <c r="G11" s="207">
        <f>'SA3'!G36</f>
        <v>0</v>
      </c>
      <c r="H11" s="264">
        <f>'SA3'!H36</f>
        <v>0</v>
      </c>
      <c r="I11" s="210">
        <f>'SA3'!I36</f>
        <v>0</v>
      </c>
      <c r="J11" s="211">
        <f>'SA3'!J36</f>
        <v>0</v>
      </c>
      <c r="K11" s="207">
        <f>'SA3'!K36</f>
        <v>0</v>
      </c>
      <c r="L11" s="264">
        <f>'SA3'!L36</f>
        <v>0</v>
      </c>
    </row>
    <row r="12" spans="1:12" ht="11.25" customHeight="1" x14ac:dyDescent="0.25">
      <c r="A12" s="250" t="s">
        <v>156</v>
      </c>
      <c r="B12" s="350"/>
      <c r="C12" s="1460">
        <f>'SA17'!C67</f>
        <v>0</v>
      </c>
      <c r="D12" s="1460">
        <f>'SA17'!D67</f>
        <v>0</v>
      </c>
      <c r="E12" s="1461">
        <f>'SA17'!E67</f>
        <v>0</v>
      </c>
      <c r="F12" s="1462">
        <f>'SA17'!F67</f>
        <v>0</v>
      </c>
      <c r="G12" s="1460">
        <f>'SA17'!G67</f>
        <v>0</v>
      </c>
      <c r="H12" s="1461">
        <f>'SA17'!H67</f>
        <v>0</v>
      </c>
      <c r="I12" s="2319"/>
      <c r="J12" s="1464">
        <f>'SA17'!I67</f>
        <v>0</v>
      </c>
      <c r="K12" s="1460">
        <f>'SA17'!J67</f>
        <v>0</v>
      </c>
      <c r="L12" s="1461">
        <f>'SA17'!K67</f>
        <v>0</v>
      </c>
    </row>
    <row r="13" spans="1:12" ht="11.25" customHeight="1" x14ac:dyDescent="0.25">
      <c r="A13" s="250" t="s">
        <v>1120</v>
      </c>
      <c r="B13" s="350">
        <v>2</v>
      </c>
      <c r="C13" s="1631"/>
      <c r="D13" s="1631"/>
      <c r="E13" s="1632"/>
      <c r="F13" s="1633"/>
      <c r="G13" s="1631"/>
      <c r="H13" s="1632"/>
      <c r="I13" s="1634"/>
      <c r="J13" s="1635">
        <v>0</v>
      </c>
      <c r="K13" s="1635">
        <v>0</v>
      </c>
      <c r="L13" s="1635">
        <v>0</v>
      </c>
    </row>
    <row r="14" spans="1:12" ht="11.25" customHeight="1" x14ac:dyDescent="0.25">
      <c r="A14" s="250" t="s">
        <v>394</v>
      </c>
      <c r="B14" s="350">
        <v>3</v>
      </c>
      <c r="C14" s="207">
        <f>-C32</f>
        <v>45724000</v>
      </c>
      <c r="D14" s="207">
        <f t="shared" ref="D14:L14" si="1">-D32</f>
        <v>56006953</v>
      </c>
      <c r="E14" s="264">
        <f t="shared" si="1"/>
        <v>141138320</v>
      </c>
      <c r="F14" s="251">
        <f>-F32</f>
        <v>9062000</v>
      </c>
      <c r="G14" s="207">
        <f t="shared" si="1"/>
        <v>17892000</v>
      </c>
      <c r="H14" s="264">
        <f t="shared" si="1"/>
        <v>17892000</v>
      </c>
      <c r="I14" s="210">
        <f t="shared" si="1"/>
        <v>-172871086</v>
      </c>
      <c r="J14" s="211">
        <f t="shared" si="1"/>
        <v>-4903000</v>
      </c>
      <c r="K14" s="207">
        <f t="shared" si="1"/>
        <v>-5192000</v>
      </c>
      <c r="L14" s="264">
        <f t="shared" si="1"/>
        <v>-5482976</v>
      </c>
    </row>
    <row r="15" spans="1:12" ht="11.25" customHeight="1" x14ac:dyDescent="0.25">
      <c r="A15" s="250" t="s">
        <v>582</v>
      </c>
      <c r="B15" s="350"/>
      <c r="C15" s="1631"/>
      <c r="D15" s="1631"/>
      <c r="E15" s="1632"/>
      <c r="F15" s="1633"/>
      <c r="G15" s="1631"/>
      <c r="H15" s="1632"/>
      <c r="I15" s="1634"/>
      <c r="J15" s="1635"/>
      <c r="K15" s="1631"/>
      <c r="L15" s="1632"/>
    </row>
    <row r="16" spans="1:12" ht="11.25" customHeight="1" x14ac:dyDescent="0.25">
      <c r="A16" s="250" t="s">
        <v>395</v>
      </c>
      <c r="B16" s="350">
        <v>4</v>
      </c>
      <c r="C16" s="207">
        <f>C52</f>
        <v>0</v>
      </c>
      <c r="D16" s="207">
        <f t="shared" ref="D16:L16" si="2">D52</f>
        <v>0</v>
      </c>
      <c r="E16" s="264">
        <f t="shared" si="2"/>
        <v>0</v>
      </c>
      <c r="F16" s="258">
        <f t="shared" si="2"/>
        <v>0</v>
      </c>
      <c r="G16" s="256">
        <f t="shared" si="2"/>
        <v>0</v>
      </c>
      <c r="H16" s="262">
        <f t="shared" si="2"/>
        <v>0</v>
      </c>
      <c r="I16" s="261">
        <f t="shared" si="2"/>
        <v>0</v>
      </c>
      <c r="J16" s="263">
        <f t="shared" si="2"/>
        <v>0</v>
      </c>
      <c r="K16" s="256">
        <f t="shared" si="2"/>
        <v>0</v>
      </c>
      <c r="L16" s="262">
        <f t="shared" si="2"/>
        <v>0</v>
      </c>
    </row>
    <row r="17" spans="1:14" ht="11.25" customHeight="1" x14ac:dyDescent="0.25">
      <c r="A17" s="250" t="s">
        <v>1205</v>
      </c>
      <c r="B17" s="350">
        <v>5</v>
      </c>
      <c r="C17" s="1606"/>
      <c r="D17" s="1606"/>
      <c r="E17" s="1628"/>
      <c r="F17" s="1629"/>
      <c r="G17" s="1606"/>
      <c r="H17" s="1628"/>
      <c r="I17" s="1630"/>
      <c r="J17" s="1608"/>
      <c r="K17" s="1606"/>
      <c r="L17" s="1628"/>
    </row>
    <row r="18" spans="1:14" ht="11.25" customHeight="1" x14ac:dyDescent="0.25">
      <c r="A18" s="792" t="str">
        <f>"Total "&amp;A10&amp;":"</f>
        <v>Total Application of cash and investments:</v>
      </c>
      <c r="B18" s="807"/>
      <c r="C18" s="808">
        <f>SUM(C11:C17)</f>
        <v>45724000</v>
      </c>
      <c r="D18" s="808">
        <f t="shared" ref="D18:L18" si="3">SUM(D11:D17)</f>
        <v>56006953</v>
      </c>
      <c r="E18" s="809">
        <f t="shared" si="3"/>
        <v>141138320</v>
      </c>
      <c r="F18" s="810">
        <f t="shared" si="3"/>
        <v>9062000</v>
      </c>
      <c r="G18" s="808">
        <f t="shared" si="3"/>
        <v>17892000</v>
      </c>
      <c r="H18" s="809">
        <f t="shared" si="3"/>
        <v>17892000</v>
      </c>
      <c r="I18" s="811">
        <f t="shared" si="3"/>
        <v>-172871086</v>
      </c>
      <c r="J18" s="1103">
        <f t="shared" si="3"/>
        <v>-4903000</v>
      </c>
      <c r="K18" s="808">
        <f t="shared" si="3"/>
        <v>-5192000</v>
      </c>
      <c r="L18" s="809">
        <f t="shared" si="3"/>
        <v>-5482976</v>
      </c>
      <c r="N18" s="355"/>
    </row>
    <row r="19" spans="1:14" ht="11.25" customHeight="1" x14ac:dyDescent="0.25">
      <c r="A19" s="396" t="s">
        <v>291</v>
      </c>
      <c r="B19" s="397"/>
      <c r="C19" s="348">
        <f>C8-C18</f>
        <v>26958000</v>
      </c>
      <c r="D19" s="348">
        <f t="shared" ref="D19:L19" si="4">D8-D18</f>
        <v>-52817701</v>
      </c>
      <c r="E19" s="1104">
        <f t="shared" si="4"/>
        <v>-99926889</v>
      </c>
      <c r="F19" s="1105">
        <f t="shared" si="4"/>
        <v>21490723.829999983</v>
      </c>
      <c r="G19" s="348">
        <f t="shared" si="4"/>
        <v>-181464296.17000002</v>
      </c>
      <c r="H19" s="1104">
        <f t="shared" si="4"/>
        <v>-181464296.17000002</v>
      </c>
      <c r="I19" s="1019">
        <f t="shared" si="4"/>
        <v>225933632</v>
      </c>
      <c r="J19" s="349">
        <f t="shared" si="4"/>
        <v>7471986.4299999718</v>
      </c>
      <c r="K19" s="348">
        <f t="shared" si="4"/>
        <v>7912556.6293699695</v>
      </c>
      <c r="L19" s="1104">
        <f t="shared" si="4"/>
        <v>8355883.8006146876</v>
      </c>
      <c r="N19" s="355"/>
    </row>
    <row r="20" spans="1:14" ht="11.25" customHeight="1" x14ac:dyDescent="0.25">
      <c r="A20" s="356" t="str">
        <f>head27a</f>
        <v>References</v>
      </c>
      <c r="B20" s="149"/>
      <c r="C20" s="310"/>
      <c r="D20" s="310"/>
      <c r="E20" s="310"/>
      <c r="F20" s="310"/>
      <c r="G20" s="310"/>
      <c r="H20" s="310"/>
      <c r="I20" s="310"/>
      <c r="J20" s="310"/>
      <c r="K20" s="310"/>
      <c r="L20" s="310"/>
    </row>
    <row r="21" spans="1:14" ht="11.25" customHeight="1" x14ac:dyDescent="0.25">
      <c r="A21" s="357" t="s">
        <v>1473</v>
      </c>
      <c r="B21" s="149"/>
    </row>
    <row r="22" spans="1:14" ht="11.25" customHeight="1" x14ac:dyDescent="0.25">
      <c r="A22" s="357" t="s">
        <v>1121</v>
      </c>
      <c r="B22" s="149"/>
    </row>
    <row r="23" spans="1:14" ht="11.25" customHeight="1" x14ac:dyDescent="0.25">
      <c r="A23" s="357" t="s">
        <v>297</v>
      </c>
      <c r="B23" s="149"/>
    </row>
    <row r="24" spans="1:14" ht="11.25" customHeight="1" x14ac:dyDescent="0.25">
      <c r="A24" s="357" t="s">
        <v>300</v>
      </c>
      <c r="B24" s="149"/>
    </row>
    <row r="25" spans="1:14" ht="11.25" customHeight="1" x14ac:dyDescent="0.25">
      <c r="A25" s="357" t="s">
        <v>299</v>
      </c>
      <c r="B25" s="149"/>
    </row>
    <row r="26" spans="1:14" ht="6" customHeight="1" x14ac:dyDescent="0.25">
      <c r="B26" s="149"/>
    </row>
    <row r="27" spans="1:14" ht="11.25" customHeight="1" x14ac:dyDescent="0.25">
      <c r="A27" s="358"/>
      <c r="B27" s="149"/>
      <c r="C27" s="395"/>
      <c r="D27" s="395"/>
      <c r="E27" s="395"/>
      <c r="F27" s="395"/>
      <c r="G27" s="395"/>
      <c r="H27" s="395"/>
      <c r="I27" s="395"/>
      <c r="J27" s="395"/>
      <c r="K27" s="395"/>
      <c r="L27" s="395"/>
    </row>
    <row r="28" spans="1:14" ht="11.25" customHeight="1" x14ac:dyDescent="0.25">
      <c r="A28" s="359" t="s">
        <v>394</v>
      </c>
      <c r="B28" s="149"/>
      <c r="C28" s="395"/>
      <c r="D28" s="395"/>
      <c r="E28" s="395"/>
      <c r="F28" s="395"/>
      <c r="G28" s="395"/>
      <c r="H28" s="395"/>
      <c r="I28" s="395"/>
      <c r="J28" s="395"/>
      <c r="K28" s="395"/>
      <c r="L28" s="395"/>
    </row>
    <row r="29" spans="1:14" ht="11.25" customHeight="1" x14ac:dyDescent="0.25">
      <c r="A29" s="360" t="s">
        <v>2214</v>
      </c>
      <c r="B29" s="149"/>
      <c r="C29" s="1062">
        <f>IF(ISERROR(ROUND(C35*C36,-3)),0,(ROUND(C35*C36,-3)))</f>
        <v>44634000</v>
      </c>
      <c r="D29" s="1062">
        <f t="shared" ref="D29:L29" si="5">IF(ISERROR(ROUND(D35*D36,-3)),0,(ROUND(D35*D36,-3)))</f>
        <v>12505000</v>
      </c>
      <c r="E29" s="1062">
        <f t="shared" si="5"/>
        <v>6933000</v>
      </c>
      <c r="F29" s="1062">
        <f t="shared" si="5"/>
        <v>26938000</v>
      </c>
      <c r="G29" s="1062">
        <f t="shared" si="5"/>
        <v>18108000</v>
      </c>
      <c r="H29" s="1062">
        <f t="shared" si="5"/>
        <v>18108000</v>
      </c>
      <c r="I29" s="1062">
        <f t="shared" si="5"/>
        <v>280423000</v>
      </c>
      <c r="J29" s="1062">
        <f t="shared" si="5"/>
        <v>60903000</v>
      </c>
      <c r="K29" s="1062">
        <f t="shared" si="5"/>
        <v>64496000</v>
      </c>
      <c r="L29" s="1062">
        <f t="shared" si="5"/>
        <v>68108000</v>
      </c>
    </row>
    <row r="30" spans="1:14" s="369" customFormat="1" ht="3" customHeight="1" x14ac:dyDescent="0.25">
      <c r="A30" s="360"/>
      <c r="C30" s="1062"/>
      <c r="D30" s="1062"/>
      <c r="E30" s="1062"/>
      <c r="F30" s="1062"/>
      <c r="G30" s="1062"/>
      <c r="H30" s="1062"/>
      <c r="I30" s="1062"/>
      <c r="J30" s="1062"/>
      <c r="K30" s="1062"/>
      <c r="L30" s="1062"/>
    </row>
    <row r="31" spans="1:14" ht="11.25" customHeight="1" x14ac:dyDescent="0.25">
      <c r="A31" s="360" t="s">
        <v>2209</v>
      </c>
      <c r="B31" s="149"/>
      <c r="C31" s="1062">
        <f>'SA3'!C35</f>
        <v>90358000</v>
      </c>
      <c r="D31" s="1062">
        <f>'SA3'!D35</f>
        <v>68511953</v>
      </c>
      <c r="E31" s="1062">
        <f>'SA3'!E35</f>
        <v>148071320</v>
      </c>
      <c r="F31" s="1062">
        <f>'SA3'!F35</f>
        <v>36000000</v>
      </c>
      <c r="G31" s="1062">
        <f>'SA3'!G35</f>
        <v>36000000</v>
      </c>
      <c r="H31" s="1062">
        <f>'SA3'!H35</f>
        <v>36000000</v>
      </c>
      <c r="I31" s="1062">
        <f>'SA3'!I35</f>
        <v>107551914</v>
      </c>
      <c r="J31" s="1062">
        <f>'SA3'!J35</f>
        <v>56000000</v>
      </c>
      <c r="K31" s="1062">
        <f>'SA3'!K35</f>
        <v>59304000</v>
      </c>
      <c r="L31" s="1062">
        <f>'SA3'!L35</f>
        <v>62625024</v>
      </c>
    </row>
    <row r="32" spans="1:14" ht="11.25" customHeight="1" x14ac:dyDescent="0.25">
      <c r="A32" s="360" t="s">
        <v>770</v>
      </c>
      <c r="B32" s="149"/>
      <c r="C32" s="2478">
        <f>C29-C31</f>
        <v>-45724000</v>
      </c>
      <c r="D32" s="2478">
        <f t="shared" ref="D32:L32" si="6">D29-D31</f>
        <v>-56006953</v>
      </c>
      <c r="E32" s="2478">
        <f t="shared" si="6"/>
        <v>-141138320</v>
      </c>
      <c r="F32" s="2478">
        <f t="shared" si="6"/>
        <v>-9062000</v>
      </c>
      <c r="G32" s="2478">
        <f t="shared" si="6"/>
        <v>-17892000</v>
      </c>
      <c r="H32" s="2478">
        <f t="shared" si="6"/>
        <v>-17892000</v>
      </c>
      <c r="I32" s="2478">
        <f t="shared" si="6"/>
        <v>172871086</v>
      </c>
      <c r="J32" s="2478">
        <f t="shared" si="6"/>
        <v>4903000</v>
      </c>
      <c r="K32" s="2478">
        <f t="shared" si="6"/>
        <v>5192000</v>
      </c>
      <c r="L32" s="2478">
        <f t="shared" si="6"/>
        <v>5482976</v>
      </c>
    </row>
    <row r="33" spans="1:12" ht="6" customHeight="1" x14ac:dyDescent="0.25">
      <c r="B33" s="149"/>
      <c r="C33" s="210"/>
      <c r="D33" s="210"/>
      <c r="E33" s="210"/>
      <c r="F33" s="210"/>
      <c r="G33" s="210"/>
      <c r="H33" s="210"/>
      <c r="I33" s="210"/>
      <c r="J33" s="210"/>
      <c r="K33" s="210"/>
      <c r="L33" s="210"/>
    </row>
    <row r="34" spans="1:12" ht="11.25" customHeight="1" x14ac:dyDescent="0.25">
      <c r="A34" s="359" t="s">
        <v>2204</v>
      </c>
      <c r="B34" s="149"/>
      <c r="C34" s="2458"/>
      <c r="D34" s="2458"/>
      <c r="E34" s="2458"/>
      <c r="F34" s="2458"/>
      <c r="G34" s="2458"/>
      <c r="H34" s="2458"/>
      <c r="I34" s="2458"/>
      <c r="J34" s="2458"/>
      <c r="K34" s="2458"/>
      <c r="L34" s="2458"/>
    </row>
    <row r="35" spans="1:12" ht="11.25" customHeight="1" x14ac:dyDescent="0.25">
      <c r="A35" s="360" t="s">
        <v>2207</v>
      </c>
      <c r="B35" s="149"/>
      <c r="C35" s="210">
        <f>'A6-FinPos'!C8+'A6-FinPos'!C9+'A6-FinPos'!C15</f>
        <v>60186000</v>
      </c>
      <c r="D35" s="210">
        <f>'A6-FinPos'!D8+'A6-FinPos'!D9+'A6-FinPos'!D15</f>
        <v>73692870</v>
      </c>
      <c r="E35" s="210">
        <f>'A6-FinPos'!E8+'A6-FinPos'!E9+'A6-FinPos'!E15</f>
        <v>4348474</v>
      </c>
      <c r="F35" s="210">
        <f>'A6-FinPos'!F8+'A6-FinPos'!F9+'A6-FinPos'!F15</f>
        <v>195845428</v>
      </c>
      <c r="G35" s="210">
        <f>'A6-FinPos'!G8+'A6-FinPos'!G9+'A6-FinPos'!G15</f>
        <v>195845428</v>
      </c>
      <c r="H35" s="210">
        <f>'A6-FinPos'!H8+'A6-FinPos'!H9+'A6-FinPos'!H15</f>
        <v>195845428</v>
      </c>
      <c r="I35" s="210">
        <f>'A6-FinPos'!I8+'A6-FinPos'!I9+'A6-FinPos'!I15</f>
        <v>431340669</v>
      </c>
      <c r="J35" s="210">
        <f>'A6-FinPos'!J8+'A6-FinPos'!J9+'A6-FinPos'!J15</f>
        <v>137736014.44</v>
      </c>
      <c r="K35" s="210">
        <f>'A6-FinPos'!K8+'A6-FinPos'!K9+'A6-FinPos'!K15</f>
        <v>145862439.29196</v>
      </c>
      <c r="L35" s="210">
        <f>'A6-FinPos'!L8+'A6-FinPos'!L9+'A6-FinPos'!L15</f>
        <v>154030735.89230978</v>
      </c>
    </row>
    <row r="36" spans="1:12" ht="11.25" customHeight="1" x14ac:dyDescent="0.25">
      <c r="A36" s="360" t="s">
        <v>2208</v>
      </c>
      <c r="B36" s="149"/>
      <c r="C36" s="2656">
        <f>IF(ISERROR('SA10'!D10),0,('SA10'!D10))</f>
        <v>0.7415978594918099</v>
      </c>
      <c r="D36" s="2656">
        <f>IF(ISERROR('SA10'!E10),0,('SA10'!E10))</f>
        <v>0.16969381448806115</v>
      </c>
      <c r="E36" s="2656">
        <f>IF(ISERROR('SA10'!F10),0,('SA10'!F10))</f>
        <v>1.5943923025864746</v>
      </c>
      <c r="F36" s="2656">
        <f>IF(ISERROR('SA10'!G10),0,('SA10'!G10))</f>
        <v>0.13754505253632618</v>
      </c>
      <c r="G36" s="2656">
        <f>IF(ISERROR('SA10'!H10),0,('SA10'!H10))</f>
        <v>9.2462899628684564E-2</v>
      </c>
      <c r="H36" s="2656">
        <f>IF(ISERROR('SA10'!I10),0,('SA10'!I10))</f>
        <v>9.2462899628684564E-2</v>
      </c>
      <c r="I36" s="2656">
        <f>IF(ISERROR('SA10'!J10),0,('SA10'!J10))</f>
        <v>0.65011841771766932</v>
      </c>
      <c r="J36" s="2656">
        <f>IF(ISERROR('SA10'!K10),0,('SA10'!K10))</f>
        <v>0.4421711510399004</v>
      </c>
      <c r="K36" s="2656">
        <f>IF(ISERROR('SA10'!L10),0,('SA10'!L10))</f>
        <v>0.4421711510399004</v>
      </c>
      <c r="L36" s="2656">
        <f>IF(ISERROR('SA10'!M10),0,('SA10'!M10))</f>
        <v>0.44217115103990029</v>
      </c>
    </row>
    <row r="37" spans="1:12" s="369" customFormat="1" ht="3" customHeight="1" x14ac:dyDescent="0.25">
      <c r="A37" s="360"/>
      <c r="C37" s="210"/>
      <c r="D37" s="210"/>
      <c r="E37" s="210"/>
      <c r="F37" s="210"/>
      <c r="G37" s="210"/>
      <c r="H37" s="210"/>
      <c r="I37" s="210"/>
      <c r="J37" s="210"/>
      <c r="K37" s="210"/>
      <c r="L37" s="210"/>
    </row>
    <row r="38" spans="1:12" s="369" customFormat="1" ht="3" customHeight="1" x14ac:dyDescent="0.25">
      <c r="A38" s="360"/>
      <c r="C38" s="2460"/>
      <c r="D38" s="2459"/>
      <c r="E38" s="2459"/>
      <c r="F38" s="2459"/>
      <c r="G38" s="2459"/>
      <c r="H38" s="2459"/>
      <c r="I38" s="2459"/>
      <c r="J38" s="2459"/>
      <c r="K38" s="2459"/>
      <c r="L38" s="2459"/>
    </row>
    <row r="39" spans="1:12" ht="11.25" customHeight="1" x14ac:dyDescent="0.25">
      <c r="B39" s="149"/>
      <c r="C39" s="369"/>
      <c r="D39" s="369"/>
      <c r="E39" s="369"/>
      <c r="F39" s="369"/>
      <c r="G39" s="369"/>
      <c r="H39" s="369"/>
      <c r="I39" s="369"/>
      <c r="J39" s="369"/>
      <c r="K39" s="369" t="s">
        <v>2206</v>
      </c>
      <c r="L39" s="369"/>
    </row>
    <row r="40" spans="1:12" ht="11.25" customHeight="1" x14ac:dyDescent="0.25">
      <c r="A40" s="463" t="str">
        <f>A16</f>
        <v>Long term investments committed</v>
      </c>
      <c r="B40" s="149"/>
      <c r="I40" s="363"/>
    </row>
    <row r="41" spans="1:12" ht="11.25" customHeight="1" x14ac:dyDescent="0.25">
      <c r="A41" s="1649" t="s">
        <v>945</v>
      </c>
      <c r="B41" s="149"/>
      <c r="C41" s="1630"/>
      <c r="D41" s="1630"/>
      <c r="E41" s="1630"/>
      <c r="F41" s="1630"/>
      <c r="G41" s="1630"/>
      <c r="H41" s="1630"/>
      <c r="I41" s="1630"/>
      <c r="J41" s="1630"/>
      <c r="K41" s="1630"/>
      <c r="L41" s="1630"/>
    </row>
    <row r="42" spans="1:12" ht="11.25" customHeight="1" x14ac:dyDescent="0.25">
      <c r="A42" s="1650"/>
      <c r="B42" s="149"/>
      <c r="C42" s="1630"/>
      <c r="D42" s="1630"/>
      <c r="E42" s="1630"/>
      <c r="F42" s="1630"/>
      <c r="G42" s="1630"/>
      <c r="H42" s="1630"/>
      <c r="I42" s="1630"/>
      <c r="J42" s="1630"/>
      <c r="K42" s="1630"/>
      <c r="L42" s="1630"/>
    </row>
    <row r="43" spans="1:12" ht="11.25" customHeight="1" x14ac:dyDescent="0.25">
      <c r="A43" s="1650"/>
      <c r="B43" s="149"/>
      <c r="C43" s="1630"/>
      <c r="D43" s="1630"/>
      <c r="E43" s="1630"/>
      <c r="F43" s="1630"/>
      <c r="G43" s="1630"/>
      <c r="H43" s="1630"/>
      <c r="I43" s="1630"/>
      <c r="J43" s="1630"/>
      <c r="K43" s="1630"/>
      <c r="L43" s="1630"/>
    </row>
    <row r="44" spans="1:12" ht="11.25" customHeight="1" x14ac:dyDescent="0.25">
      <c r="A44" s="1650"/>
      <c r="B44" s="149"/>
      <c r="C44" s="1630"/>
      <c r="D44" s="1630"/>
      <c r="E44" s="1630"/>
      <c r="F44" s="1630"/>
      <c r="G44" s="1630"/>
      <c r="H44" s="1630"/>
      <c r="I44" s="1630"/>
      <c r="J44" s="1630"/>
      <c r="K44" s="1630"/>
      <c r="L44" s="1630"/>
    </row>
    <row r="45" spans="1:12" ht="11.25" customHeight="1" x14ac:dyDescent="0.25">
      <c r="A45" s="1650"/>
      <c r="B45" s="149"/>
      <c r="C45" s="1630"/>
      <c r="D45" s="1630"/>
      <c r="E45" s="1630"/>
      <c r="F45" s="1630"/>
      <c r="G45" s="1630"/>
      <c r="H45" s="1630"/>
      <c r="I45" s="1630"/>
      <c r="J45" s="1630"/>
      <c r="K45" s="1630"/>
      <c r="L45" s="1630"/>
    </row>
    <row r="46" spans="1:12" ht="11.25" customHeight="1" x14ac:dyDescent="0.25">
      <c r="A46" s="1650"/>
      <c r="B46" s="149"/>
      <c r="C46" s="1630"/>
      <c r="D46" s="1630"/>
      <c r="E46" s="1630"/>
      <c r="F46" s="1630"/>
      <c r="G46" s="1630"/>
      <c r="H46" s="1630"/>
      <c r="I46" s="1630"/>
      <c r="J46" s="1630"/>
      <c r="K46" s="1630"/>
      <c r="L46" s="1630"/>
    </row>
    <row r="47" spans="1:12" ht="11.25" customHeight="1" x14ac:dyDescent="0.25">
      <c r="A47" s="1650"/>
      <c r="B47" s="149"/>
      <c r="C47" s="1630"/>
      <c r="D47" s="1630"/>
      <c r="E47" s="1630"/>
      <c r="F47" s="1630"/>
      <c r="G47" s="1630"/>
      <c r="H47" s="1630"/>
      <c r="I47" s="1630"/>
      <c r="J47" s="1630"/>
      <c r="K47" s="1630"/>
      <c r="L47" s="1630"/>
    </row>
    <row r="48" spans="1:12" ht="11.25" customHeight="1" x14ac:dyDescent="0.25">
      <c r="A48" s="1650"/>
      <c r="B48" s="149"/>
      <c r="C48" s="1630"/>
      <c r="D48" s="1630"/>
      <c r="E48" s="1630"/>
      <c r="F48" s="1630"/>
      <c r="G48" s="1630"/>
      <c r="H48" s="1630"/>
      <c r="I48" s="1630"/>
      <c r="J48" s="1630"/>
      <c r="K48" s="1630"/>
      <c r="L48" s="1630"/>
    </row>
    <row r="49" spans="1:12" ht="11.25" customHeight="1" x14ac:dyDescent="0.25">
      <c r="A49" s="1650"/>
      <c r="B49" s="149"/>
      <c r="C49" s="1630"/>
      <c r="D49" s="1630"/>
      <c r="E49" s="1630"/>
      <c r="F49" s="1630"/>
      <c r="G49" s="1630"/>
      <c r="H49" s="1630"/>
      <c r="I49" s="1630"/>
      <c r="J49" s="1630"/>
      <c r="K49" s="1630"/>
      <c r="L49" s="1630"/>
    </row>
    <row r="50" spans="1:12" ht="11.25" customHeight="1" x14ac:dyDescent="0.25">
      <c r="A50" s="1650"/>
      <c r="B50" s="149"/>
      <c r="C50" s="1630"/>
      <c r="D50" s="1630"/>
      <c r="E50" s="1630"/>
      <c r="F50" s="1630"/>
      <c r="G50" s="1630"/>
      <c r="H50" s="1630"/>
      <c r="I50" s="1630"/>
      <c r="J50" s="1630"/>
      <c r="K50" s="1630"/>
      <c r="L50" s="1630"/>
    </row>
    <row r="51" spans="1:12" ht="11.25" customHeight="1" x14ac:dyDescent="0.25">
      <c r="A51" s="1650"/>
      <c r="B51" s="149"/>
      <c r="C51" s="1630"/>
      <c r="D51" s="1630"/>
      <c r="E51" s="1630"/>
      <c r="F51" s="1630"/>
      <c r="G51" s="1630"/>
      <c r="H51" s="1630"/>
      <c r="I51" s="1630"/>
      <c r="J51" s="1630"/>
      <c r="K51" s="1630"/>
      <c r="L51" s="1630"/>
    </row>
    <row r="52" spans="1:12" ht="11.25" customHeight="1" thickBot="1" x14ac:dyDescent="0.3">
      <c r="A52" s="463"/>
      <c r="B52" s="149"/>
      <c r="C52" s="361">
        <f>SUM(C41:C51)</f>
        <v>0</v>
      </c>
      <c r="D52" s="361">
        <f t="shared" ref="D52:L52" si="7">SUM(D41:D51)</f>
        <v>0</v>
      </c>
      <c r="E52" s="361">
        <f t="shared" si="7"/>
        <v>0</v>
      </c>
      <c r="F52" s="361">
        <f t="shared" si="7"/>
        <v>0</v>
      </c>
      <c r="G52" s="361">
        <f t="shared" si="7"/>
        <v>0</v>
      </c>
      <c r="H52" s="361">
        <f t="shared" si="7"/>
        <v>0</v>
      </c>
      <c r="I52" s="361">
        <f t="shared" si="7"/>
        <v>0</v>
      </c>
      <c r="J52" s="361">
        <f t="shared" si="7"/>
        <v>0</v>
      </c>
      <c r="K52" s="361">
        <f t="shared" si="7"/>
        <v>0</v>
      </c>
      <c r="L52" s="361">
        <f t="shared" si="7"/>
        <v>0</v>
      </c>
    </row>
    <row r="53" spans="1:12" ht="11.25" customHeight="1" thickTop="1" x14ac:dyDescent="0.25">
      <c r="A53" s="463" t="str">
        <f>A17</f>
        <v>Reserves to be backed by cash/investments</v>
      </c>
      <c r="B53" s="149"/>
      <c r="I53" s="363"/>
    </row>
    <row r="54" spans="1:12" ht="11.25" customHeight="1" x14ac:dyDescent="0.25">
      <c r="A54" s="149" t="str">
        <f>'SA3'!A64</f>
        <v>Housing Development Fund</v>
      </c>
      <c r="B54" s="149"/>
      <c r="C54" s="210">
        <f>'SA3'!C64</f>
        <v>0</v>
      </c>
      <c r="D54" s="210">
        <f>'SA3'!D64</f>
        <v>0</v>
      </c>
      <c r="E54" s="210">
        <f>'SA3'!E64</f>
        <v>0</v>
      </c>
      <c r="F54" s="210">
        <f>'SA3'!F64</f>
        <v>0</v>
      </c>
      <c r="G54" s="210">
        <f>'SA3'!G64</f>
        <v>0</v>
      </c>
      <c r="H54" s="210">
        <f>'SA3'!H64</f>
        <v>0</v>
      </c>
      <c r="I54" s="210">
        <f>'SA3'!I64</f>
        <v>0</v>
      </c>
      <c r="J54" s="210">
        <f>'SA3'!J64</f>
        <v>0</v>
      </c>
      <c r="K54" s="210">
        <f>'SA3'!K64</f>
        <v>0</v>
      </c>
      <c r="L54" s="210">
        <f>'SA3'!L64</f>
        <v>0</v>
      </c>
    </row>
    <row r="55" spans="1:12" ht="11.25" customHeight="1" x14ac:dyDescent="0.25">
      <c r="A55" s="149" t="str">
        <f>'SA3'!A65</f>
        <v>Capital replacement</v>
      </c>
      <c r="B55" s="149"/>
      <c r="C55" s="1630"/>
      <c r="D55" s="1630"/>
      <c r="E55" s="1630"/>
      <c r="F55" s="1630"/>
      <c r="G55" s="1630"/>
      <c r="H55" s="1630"/>
      <c r="I55" s="1630"/>
      <c r="J55" s="1630"/>
      <c r="K55" s="1630"/>
      <c r="L55" s="1630"/>
    </row>
    <row r="56" spans="1:12" ht="11.25" customHeight="1" x14ac:dyDescent="0.25">
      <c r="A56" s="149" t="str">
        <f>'SA3'!A66</f>
        <v>Self-insurance</v>
      </c>
      <c r="B56" s="149"/>
      <c r="C56" s="1630"/>
      <c r="D56" s="1630"/>
      <c r="E56" s="1630"/>
      <c r="F56" s="1630"/>
      <c r="G56" s="1630"/>
      <c r="H56" s="1630"/>
      <c r="I56" s="1630"/>
      <c r="J56" s="1630"/>
      <c r="K56" s="1630"/>
      <c r="L56" s="1630"/>
    </row>
    <row r="57" spans="1:12" ht="11.25" customHeight="1" x14ac:dyDescent="0.25">
      <c r="A57" s="1649" t="s">
        <v>1394</v>
      </c>
      <c r="B57" s="1082"/>
      <c r="C57" s="1630"/>
      <c r="D57" s="1630"/>
      <c r="E57" s="1630"/>
      <c r="F57" s="1630"/>
      <c r="G57" s="1630"/>
      <c r="H57" s="1630"/>
      <c r="I57" s="1630"/>
      <c r="J57" s="1630"/>
      <c r="K57" s="1630"/>
      <c r="L57" s="1630"/>
    </row>
    <row r="58" spans="1:12" ht="11.25" customHeight="1" x14ac:dyDescent="0.25">
      <c r="A58" s="1649"/>
      <c r="B58" s="369"/>
      <c r="C58" s="1630"/>
      <c r="D58" s="1630"/>
      <c r="E58" s="1630"/>
      <c r="F58" s="1630"/>
      <c r="G58" s="1630"/>
      <c r="H58" s="1630"/>
      <c r="I58" s="1630"/>
      <c r="J58" s="1630"/>
      <c r="K58" s="1630"/>
      <c r="L58" s="1630"/>
    </row>
    <row r="59" spans="1:12" ht="11.25" customHeight="1" x14ac:dyDescent="0.25">
      <c r="A59" s="1649"/>
      <c r="B59" s="369"/>
      <c r="C59" s="1630"/>
      <c r="D59" s="1630"/>
      <c r="E59" s="1630"/>
      <c r="F59" s="1630"/>
      <c r="G59" s="1630"/>
      <c r="H59" s="1630"/>
      <c r="I59" s="1630"/>
      <c r="J59" s="1630"/>
      <c r="K59" s="1630"/>
      <c r="L59" s="1630"/>
    </row>
    <row r="60" spans="1:12" ht="11.25" customHeight="1" x14ac:dyDescent="0.25">
      <c r="A60" s="1649"/>
      <c r="B60" s="369"/>
      <c r="C60" s="1630"/>
      <c r="D60" s="1630"/>
      <c r="E60" s="1630"/>
      <c r="F60" s="1630"/>
      <c r="G60" s="1630"/>
      <c r="H60" s="1630"/>
      <c r="I60" s="1630"/>
      <c r="J60" s="1630"/>
      <c r="K60" s="1630"/>
      <c r="L60" s="1630"/>
    </row>
    <row r="61" spans="1:12" ht="11.25" customHeight="1" x14ac:dyDescent="0.25">
      <c r="A61" s="1649"/>
      <c r="B61" s="369"/>
      <c r="C61" s="1630"/>
      <c r="D61" s="1630"/>
      <c r="E61" s="1630"/>
      <c r="F61" s="1630"/>
      <c r="G61" s="1630"/>
      <c r="H61" s="1630"/>
      <c r="I61" s="1630"/>
      <c r="J61" s="1630"/>
      <c r="K61" s="1630"/>
      <c r="L61" s="1630"/>
    </row>
    <row r="62" spans="1:12" ht="11.25" customHeight="1" x14ac:dyDescent="0.25">
      <c r="A62" s="1649"/>
      <c r="B62" s="369"/>
      <c r="C62" s="1630"/>
      <c r="D62" s="1630"/>
      <c r="E62" s="1630"/>
      <c r="F62" s="1630"/>
      <c r="G62" s="1630"/>
      <c r="H62" s="1630"/>
      <c r="I62" s="1630"/>
      <c r="J62" s="1630"/>
      <c r="K62" s="1630"/>
      <c r="L62" s="1630"/>
    </row>
    <row r="63" spans="1:12" ht="11.25" customHeight="1" x14ac:dyDescent="0.25">
      <c r="A63" s="1649"/>
      <c r="B63" s="369"/>
      <c r="C63" s="1630"/>
      <c r="D63" s="1630"/>
      <c r="E63" s="1630"/>
      <c r="F63" s="1630"/>
      <c r="G63" s="1630"/>
      <c r="H63" s="1630"/>
      <c r="I63" s="1630"/>
      <c r="J63" s="1630"/>
      <c r="K63" s="1630"/>
      <c r="L63" s="1630"/>
    </row>
    <row r="64" spans="1:12" ht="11.25" customHeight="1" x14ac:dyDescent="0.25">
      <c r="A64" s="1649"/>
      <c r="B64" s="369"/>
      <c r="C64" s="1630"/>
      <c r="D64" s="1630"/>
      <c r="E64" s="1630"/>
      <c r="F64" s="1630"/>
      <c r="G64" s="1630"/>
      <c r="H64" s="1630"/>
      <c r="I64" s="1630"/>
      <c r="J64" s="1630"/>
      <c r="K64" s="1630"/>
      <c r="L64" s="1630"/>
    </row>
    <row r="65" spans="1:12" ht="11.25" customHeight="1" x14ac:dyDescent="0.25">
      <c r="A65" s="1649"/>
      <c r="B65" s="369"/>
      <c r="C65" s="1630"/>
      <c r="D65" s="1630"/>
      <c r="E65" s="1630"/>
      <c r="F65" s="1630"/>
      <c r="G65" s="1630"/>
      <c r="H65" s="1630"/>
      <c r="I65" s="1630"/>
      <c r="J65" s="1630"/>
      <c r="K65" s="1630"/>
      <c r="L65" s="1630"/>
    </row>
    <row r="67" spans="1:12" ht="11.25" customHeight="1" thickBot="1" x14ac:dyDescent="0.3">
      <c r="B67" s="149"/>
      <c r="C67" s="361">
        <f t="shared" ref="C67:L67" si="8">SUM(C54:C65)</f>
        <v>0</v>
      </c>
      <c r="D67" s="361">
        <f t="shared" si="8"/>
        <v>0</v>
      </c>
      <c r="E67" s="361">
        <f t="shared" si="8"/>
        <v>0</v>
      </c>
      <c r="F67" s="361">
        <f t="shared" si="8"/>
        <v>0</v>
      </c>
      <c r="G67" s="361">
        <f t="shared" si="8"/>
        <v>0</v>
      </c>
      <c r="H67" s="361">
        <f t="shared" si="8"/>
        <v>0</v>
      </c>
      <c r="I67" s="361">
        <f t="shared" si="8"/>
        <v>0</v>
      </c>
      <c r="J67" s="361">
        <f t="shared" si="8"/>
        <v>0</v>
      </c>
      <c r="K67" s="361">
        <f t="shared" si="8"/>
        <v>0</v>
      </c>
      <c r="L67" s="361">
        <f t="shared" si="8"/>
        <v>0</v>
      </c>
    </row>
    <row r="68" spans="1:12" ht="11.25" customHeight="1" thickTop="1" x14ac:dyDescent="0.25">
      <c r="B68" s="149"/>
    </row>
    <row r="69" spans="1:12" ht="11.25" customHeight="1" x14ac:dyDescent="0.25">
      <c r="B69" s="149"/>
    </row>
    <row r="70" spans="1:12" ht="11.25" customHeight="1" x14ac:dyDescent="0.25">
      <c r="B70" s="149"/>
    </row>
    <row r="71" spans="1:12" ht="11.25" customHeight="1" x14ac:dyDescent="0.25">
      <c r="B71" s="149"/>
    </row>
    <row r="72" spans="1:12" ht="11.25" customHeight="1" x14ac:dyDescent="0.25">
      <c r="B72" s="149"/>
    </row>
    <row r="73" spans="1:12" ht="11.25" customHeight="1" x14ac:dyDescent="0.25">
      <c r="B73" s="149"/>
    </row>
    <row r="74" spans="1:12" ht="11.25" customHeight="1" x14ac:dyDescent="0.25">
      <c r="B74" s="149"/>
    </row>
    <row r="75" spans="1:12" ht="11.25" customHeight="1" x14ac:dyDescent="0.25">
      <c r="B75" s="149"/>
    </row>
    <row r="76" spans="1:12" ht="11.25" customHeight="1" x14ac:dyDescent="0.25">
      <c r="B76" s="149"/>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sheet="1" objects="1" scenarios="1"/>
  <customSheetViews>
    <customSheetView guid="{F50C5479-5CC4-4FD7-8319-543D29E829F0}" showGridLines="0" fitToPage="1">
      <pane xSplit="2" ySplit="3" topLeftCell="C20" activePane="bottomRight" state="frozen"/>
      <selection pane="bottomRight" activeCell="C36" sqref="C36"/>
      <pageMargins left="0" right="0" top="0.78740157480314965" bottom="0.59055118110236227" header="0.51181102362204722" footer="0.39370078740157483"/>
      <printOptions horizontalCentered="1"/>
      <pageSetup paperSize="9" scale="81" orientation="portrait" r:id="rId1"/>
      <headerFooter alignWithMargins="0"/>
    </customSheetView>
  </customSheetViews>
  <mergeCells count="2">
    <mergeCell ref="J2:L2"/>
    <mergeCell ref="F2:I2"/>
  </mergeCells>
  <phoneticPr fontId="2" type="noConversion"/>
  <dataValidations count="1">
    <dataValidation type="decimal" allowBlank="1" showInputMessage="1" showErrorMessage="1" sqref="C12:L13 C15:L15 C17:L17 C55:L65 C38 C41:L51 C29:L31">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95" orientation="landscape"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4"/>
  </sheetPr>
  <dimension ref="A1:K128"/>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B2" sqref="B2"/>
    </sheetView>
  </sheetViews>
  <sheetFormatPr defaultRowHeight="12.75" x14ac:dyDescent="0.25"/>
  <cols>
    <col min="1" max="1" width="31.425781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s="179" customFormat="1" x14ac:dyDescent="0.2">
      <c r="A1" s="147" t="str">
        <f>muni&amp;" - "&amp;Approve9</f>
        <v>MP315 Thembisile Hani - Table A9 Asset Management</v>
      </c>
      <c r="B1" s="147"/>
      <c r="C1" s="147"/>
      <c r="D1" s="147"/>
      <c r="E1" s="147"/>
      <c r="F1" s="147"/>
      <c r="G1" s="147"/>
      <c r="H1" s="147"/>
      <c r="I1" s="147"/>
      <c r="J1" s="147"/>
      <c r="K1" s="147"/>
    </row>
    <row r="2" spans="1:11" ht="28.5" customHeight="1" x14ac:dyDescent="0.25">
      <c r="A2" s="970" t="str">
        <f>desc</f>
        <v>Description</v>
      </c>
      <c r="B2" s="418" t="str">
        <f>head27</f>
        <v>Ref</v>
      </c>
      <c r="C2" s="150"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1426" t="s">
        <v>662</v>
      </c>
      <c r="B3" s="985"/>
      <c r="C3" s="389" t="str">
        <f>Head5</f>
        <v>Audited Outcome</v>
      </c>
      <c r="D3" s="389"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1" ht="11.25" customHeight="1" x14ac:dyDescent="0.25">
      <c r="A4" s="1535" t="s">
        <v>1416</v>
      </c>
      <c r="B4" s="182"/>
      <c r="C4" s="218"/>
      <c r="D4" s="218"/>
      <c r="E4" s="219"/>
      <c r="F4" s="220"/>
      <c r="G4" s="218"/>
      <c r="H4" s="217"/>
      <c r="I4" s="221"/>
      <c r="J4" s="218"/>
      <c r="K4" s="219"/>
    </row>
    <row r="5" spans="1:11" ht="11.25" customHeight="1" x14ac:dyDescent="0.25">
      <c r="A5" s="1536" t="s">
        <v>1063</v>
      </c>
      <c r="B5" s="182">
        <v>1</v>
      </c>
      <c r="C5" s="218">
        <f>SUM(C11:C18)</f>
        <v>44966000</v>
      </c>
      <c r="D5" s="218">
        <f>SUM(D11:D18)</f>
        <v>16769034</v>
      </c>
      <c r="E5" s="219">
        <f t="shared" ref="E5:K5" si="0">SUM(E11:E18)</f>
        <v>113650291</v>
      </c>
      <c r="F5" s="220">
        <f t="shared" si="0"/>
        <v>110819751.63</v>
      </c>
      <c r="G5" s="218">
        <f t="shared" si="0"/>
        <v>111340502.90999998</v>
      </c>
      <c r="H5" s="217">
        <f t="shared" si="0"/>
        <v>111340502.90999998</v>
      </c>
      <c r="I5" s="221">
        <f t="shared" si="0"/>
        <v>116339135</v>
      </c>
      <c r="J5" s="218">
        <f t="shared" si="0"/>
        <v>123203143.96499999</v>
      </c>
      <c r="K5" s="219">
        <f t="shared" si="0"/>
        <v>130102520.02704</v>
      </c>
    </row>
    <row r="6" spans="1:11" ht="11.25" customHeight="1" x14ac:dyDescent="0.25">
      <c r="A6" s="1537" t="s">
        <v>387</v>
      </c>
      <c r="B6" s="350"/>
      <c r="C6" s="1059">
        <f>SA34a!C7</f>
        <v>0</v>
      </c>
      <c r="D6" s="1059">
        <f>SA34a!D7</f>
        <v>7741027</v>
      </c>
      <c r="E6" s="1060">
        <f>SA34a!E7</f>
        <v>72282512</v>
      </c>
      <c r="F6" s="1061">
        <f>SA34a!F7</f>
        <v>23280750</v>
      </c>
      <c r="G6" s="1059">
        <f>SA34a!G7</f>
        <v>3479135.0599999987</v>
      </c>
      <c r="H6" s="1062">
        <f>SA34a!H7</f>
        <v>3479135.0599999987</v>
      </c>
      <c r="I6" s="1063">
        <f>SA34a!I7</f>
        <v>0</v>
      </c>
      <c r="J6" s="1059">
        <f>SA34a!J7</f>
        <v>0</v>
      </c>
      <c r="K6" s="1060">
        <f>SA34a!K7</f>
        <v>0</v>
      </c>
    </row>
    <row r="7" spans="1:11" ht="11.25" customHeight="1" x14ac:dyDescent="0.25">
      <c r="A7" s="1537" t="s">
        <v>746</v>
      </c>
      <c r="B7" s="350"/>
      <c r="C7" s="1059">
        <f>SA34a!C10</f>
        <v>0</v>
      </c>
      <c r="D7" s="1059">
        <f>SA34a!D10</f>
        <v>1317890</v>
      </c>
      <c r="E7" s="1060">
        <f>SA34a!E10</f>
        <v>0</v>
      </c>
      <c r="F7" s="1061">
        <f>SA34a!F10</f>
        <v>3000000</v>
      </c>
      <c r="G7" s="1059">
        <f>SA34a!G10</f>
        <v>6564292.3799999999</v>
      </c>
      <c r="H7" s="1062">
        <f>SA34a!H10</f>
        <v>6564292.3799999999</v>
      </c>
      <c r="I7" s="1063">
        <f>SA34a!I10</f>
        <v>10257704</v>
      </c>
      <c r="J7" s="1059">
        <f>SA34a!J10</f>
        <v>10862908.536</v>
      </c>
      <c r="K7" s="1060">
        <f>SA34a!K10</f>
        <v>11471231.414016001</v>
      </c>
    </row>
    <row r="8" spans="1:11" ht="11.25" customHeight="1" x14ac:dyDescent="0.25">
      <c r="A8" s="1537" t="s">
        <v>388</v>
      </c>
      <c r="B8" s="350"/>
      <c r="C8" s="1059">
        <f>SA34a!C14</f>
        <v>0</v>
      </c>
      <c r="D8" s="1059">
        <f>SA34a!D14</f>
        <v>1895222</v>
      </c>
      <c r="E8" s="1060">
        <f>SA34a!E14</f>
        <v>26214057</v>
      </c>
      <c r="F8" s="1061">
        <f>SA34a!F14</f>
        <v>69539001.629999995</v>
      </c>
      <c r="G8" s="1059">
        <f>SA34a!G14</f>
        <v>94490831.229999989</v>
      </c>
      <c r="H8" s="1062">
        <f>SA34a!H14</f>
        <v>94490831.229999989</v>
      </c>
      <c r="I8" s="1063">
        <f>SA34a!I14</f>
        <v>94645939</v>
      </c>
      <c r="J8" s="1059">
        <f>SA34a!J14</f>
        <v>100230049.40099999</v>
      </c>
      <c r="K8" s="1060">
        <f>SA34a!K14</f>
        <v>105842932.167456</v>
      </c>
    </row>
    <row r="9" spans="1:11" ht="11.25" customHeight="1" x14ac:dyDescent="0.25">
      <c r="A9" s="1537" t="s">
        <v>389</v>
      </c>
      <c r="B9" s="350"/>
      <c r="C9" s="1059">
        <f>SA34a!C18</f>
        <v>0</v>
      </c>
      <c r="D9" s="1059">
        <f>SA34a!D18</f>
        <v>4108803</v>
      </c>
      <c r="E9" s="1060">
        <f>SA34a!E18</f>
        <v>0</v>
      </c>
      <c r="F9" s="1061">
        <f>SA34a!F18</f>
        <v>5000000</v>
      </c>
      <c r="G9" s="1059">
        <f>SA34a!G18</f>
        <v>6000000</v>
      </c>
      <c r="H9" s="1062">
        <f>SA34a!H18</f>
        <v>6000000</v>
      </c>
      <c r="I9" s="1063">
        <f>SA34a!I18</f>
        <v>11345492</v>
      </c>
      <c r="J9" s="1059">
        <f>SA34a!J18</f>
        <v>12014876.027999999</v>
      </c>
      <c r="K9" s="1060">
        <f>SA34a!K18</f>
        <v>12687709.085568</v>
      </c>
    </row>
    <row r="10" spans="1:11" ht="11.25" customHeight="1" x14ac:dyDescent="0.25">
      <c r="A10" s="1537" t="s">
        <v>686</v>
      </c>
      <c r="B10" s="350"/>
      <c r="C10" s="1059">
        <f>SA34a!C21</f>
        <v>44966000</v>
      </c>
      <c r="D10" s="1059">
        <f>SA34a!D21</f>
        <v>0</v>
      </c>
      <c r="E10" s="1060">
        <f>SA34a!E21</f>
        <v>0</v>
      </c>
      <c r="F10" s="1061">
        <f>SA34a!F21</f>
        <v>10000000</v>
      </c>
      <c r="G10" s="1059">
        <f>SA34a!G21</f>
        <v>716244.24000000022</v>
      </c>
      <c r="H10" s="1062">
        <f>SA34a!H21</f>
        <v>716244.24000000022</v>
      </c>
      <c r="I10" s="1063">
        <f>SA34a!I21</f>
        <v>0</v>
      </c>
      <c r="J10" s="1059">
        <f>SA34a!J21</f>
        <v>0</v>
      </c>
      <c r="K10" s="1060">
        <f>SA34a!K21</f>
        <v>0</v>
      </c>
    </row>
    <row r="11" spans="1:11" ht="11.25" customHeight="1" x14ac:dyDescent="0.25">
      <c r="A11" s="1427" t="s">
        <v>969</v>
      </c>
      <c r="B11" s="350"/>
      <c r="C11" s="1020">
        <f>SUM(C6:C10)</f>
        <v>44966000</v>
      </c>
      <c r="D11" s="1020">
        <f>SUM(D6:D10)</f>
        <v>15062942</v>
      </c>
      <c r="E11" s="1021">
        <f t="shared" ref="E11:K11" si="1">SUM(E6:E10)</f>
        <v>98496569</v>
      </c>
      <c r="F11" s="1022">
        <f t="shared" si="1"/>
        <v>110819751.63</v>
      </c>
      <c r="G11" s="1020">
        <f t="shared" si="1"/>
        <v>111250502.90999998</v>
      </c>
      <c r="H11" s="1023">
        <f t="shared" si="1"/>
        <v>111250502.90999998</v>
      </c>
      <c r="I11" s="1024">
        <f t="shared" si="1"/>
        <v>116249135</v>
      </c>
      <c r="J11" s="1020">
        <f t="shared" si="1"/>
        <v>123107833.96499999</v>
      </c>
      <c r="K11" s="1021">
        <f t="shared" si="1"/>
        <v>130001872.66704001</v>
      </c>
    </row>
    <row r="12" spans="1:11" ht="11.25" customHeight="1" x14ac:dyDescent="0.25">
      <c r="A12" s="1428" t="str">
        <f>$A$42</f>
        <v>Community</v>
      </c>
      <c r="B12" s="182"/>
      <c r="C12" s="1059">
        <f>SA34a!C27</f>
        <v>0</v>
      </c>
      <c r="D12" s="1059">
        <f>SA34a!D27</f>
        <v>259527</v>
      </c>
      <c r="E12" s="1060">
        <f>SA34a!E27</f>
        <v>0</v>
      </c>
      <c r="F12" s="1061">
        <f>SA34a!F27</f>
        <v>0</v>
      </c>
      <c r="G12" s="1059">
        <f>SA34a!G27</f>
        <v>0</v>
      </c>
      <c r="H12" s="1062">
        <f>SA34a!H27</f>
        <v>0</v>
      </c>
      <c r="I12" s="1063">
        <f>SA34a!I27</f>
        <v>0</v>
      </c>
      <c r="J12" s="1059">
        <f>SA34a!J27</f>
        <v>0</v>
      </c>
      <c r="K12" s="1060">
        <f>SA34a!K27</f>
        <v>0</v>
      </c>
    </row>
    <row r="13" spans="1:11" ht="11.25" customHeight="1" x14ac:dyDescent="0.25">
      <c r="A13" s="1428" t="str">
        <f>$A$43</f>
        <v>Heritage assets</v>
      </c>
      <c r="B13" s="182"/>
      <c r="C13" s="1460">
        <f>SA34a!C43</f>
        <v>0</v>
      </c>
      <c r="D13" s="1460">
        <f>SA34a!D43</f>
        <v>0</v>
      </c>
      <c r="E13" s="1461">
        <f>SA34a!E43</f>
        <v>0</v>
      </c>
      <c r="F13" s="1462">
        <f>SA34a!F43</f>
        <v>0</v>
      </c>
      <c r="G13" s="1460">
        <f>SA34a!G43</f>
        <v>0</v>
      </c>
      <c r="H13" s="1463">
        <f>SA34a!H43</f>
        <v>0</v>
      </c>
      <c r="I13" s="1464">
        <f>SA34a!I43</f>
        <v>0</v>
      </c>
      <c r="J13" s="1460">
        <f>SA34a!J43</f>
        <v>0</v>
      </c>
      <c r="K13" s="1461">
        <f>SA34a!K43</f>
        <v>0</v>
      </c>
    </row>
    <row r="14" spans="1:11" ht="11.25" customHeight="1" x14ac:dyDescent="0.25">
      <c r="A14" s="1428" t="str">
        <f>$A$44</f>
        <v>Investment properties</v>
      </c>
      <c r="B14" s="182"/>
      <c r="C14" s="1059">
        <f>SA34a!C47</f>
        <v>0</v>
      </c>
      <c r="D14" s="1059">
        <f>SA34a!D47</f>
        <v>0</v>
      </c>
      <c r="E14" s="1060">
        <f>SA34a!E47</f>
        <v>0</v>
      </c>
      <c r="F14" s="1061">
        <f>SA34a!F47</f>
        <v>0</v>
      </c>
      <c r="G14" s="1059">
        <f>SA34a!G47</f>
        <v>0</v>
      </c>
      <c r="H14" s="1062">
        <f>SA34a!H47</f>
        <v>0</v>
      </c>
      <c r="I14" s="1063">
        <f>SA34a!I47</f>
        <v>0</v>
      </c>
      <c r="J14" s="1059">
        <f>SA34a!J47</f>
        <v>0</v>
      </c>
      <c r="K14" s="1060">
        <f>SA34a!K47</f>
        <v>0</v>
      </c>
    </row>
    <row r="15" spans="1:11" ht="11.25" customHeight="1" x14ac:dyDescent="0.25">
      <c r="A15" s="1428" t="str">
        <f>$A$45</f>
        <v>Other assets</v>
      </c>
      <c r="B15" s="182">
        <v>6</v>
      </c>
      <c r="C15" s="1059">
        <f>SA34a!C51</f>
        <v>0</v>
      </c>
      <c r="D15" s="1059">
        <f>SA34a!D51</f>
        <v>1446565</v>
      </c>
      <c r="E15" s="1060">
        <f>SA34a!E51</f>
        <v>15153722</v>
      </c>
      <c r="F15" s="1061">
        <f>SA34a!F51</f>
        <v>0</v>
      </c>
      <c r="G15" s="1059">
        <f>SA34a!G51</f>
        <v>90000</v>
      </c>
      <c r="H15" s="1062">
        <f>SA34a!H51</f>
        <v>90000</v>
      </c>
      <c r="I15" s="1063">
        <f>SA34a!I51</f>
        <v>90000</v>
      </c>
      <c r="J15" s="1059">
        <f>SA34a!J51</f>
        <v>95310</v>
      </c>
      <c r="K15" s="1060">
        <f>SA34a!K51</f>
        <v>100647.36</v>
      </c>
    </row>
    <row r="16" spans="1:11" x14ac:dyDescent="0.25">
      <c r="A16" s="1538" t="s">
        <v>1526</v>
      </c>
      <c r="B16" s="556"/>
      <c r="C16" s="1059">
        <f>SA34a!C65</f>
        <v>0</v>
      </c>
      <c r="D16" s="1059">
        <f>SA34a!D65</f>
        <v>0</v>
      </c>
      <c r="E16" s="1060">
        <f>SA34a!E65</f>
        <v>0</v>
      </c>
      <c r="F16" s="1061">
        <f>SA34a!F65</f>
        <v>0</v>
      </c>
      <c r="G16" s="1059">
        <f>SA34a!G65</f>
        <v>0</v>
      </c>
      <c r="H16" s="1062">
        <f>SA34a!H65</f>
        <v>0</v>
      </c>
      <c r="I16" s="1063">
        <f>SA34a!I65</f>
        <v>0</v>
      </c>
      <c r="J16" s="1059">
        <f>SA34a!J65</f>
        <v>0</v>
      </c>
      <c r="K16" s="1060">
        <f>SA34a!K65</f>
        <v>0</v>
      </c>
    </row>
    <row r="17" spans="1:11" ht="11.25" customHeight="1" x14ac:dyDescent="0.25">
      <c r="A17" s="1428" t="str">
        <f>SA34a!A69</f>
        <v>Biological assets</v>
      </c>
      <c r="B17" s="182"/>
      <c r="C17" s="1059">
        <f>SA34a!C69</f>
        <v>0</v>
      </c>
      <c r="D17" s="1059">
        <f>SA34a!D69</f>
        <v>0</v>
      </c>
      <c r="E17" s="1060">
        <f>SA34a!E69</f>
        <v>0</v>
      </c>
      <c r="F17" s="1061">
        <f>SA34a!F69</f>
        <v>0</v>
      </c>
      <c r="G17" s="1059">
        <f>SA34a!G69</f>
        <v>0</v>
      </c>
      <c r="H17" s="1062">
        <f>SA34a!H69</f>
        <v>0</v>
      </c>
      <c r="I17" s="1063">
        <f>SA34a!I69</f>
        <v>0</v>
      </c>
      <c r="J17" s="1059">
        <f>SA34a!J69</f>
        <v>0</v>
      </c>
      <c r="K17" s="1060">
        <f>SA34a!K69</f>
        <v>0</v>
      </c>
    </row>
    <row r="18" spans="1:11" ht="11.25" customHeight="1" x14ac:dyDescent="0.25">
      <c r="A18" s="1428" t="str">
        <f>SA34a!A73</f>
        <v>Intangibles</v>
      </c>
      <c r="B18" s="182"/>
      <c r="C18" s="1138">
        <f>SA34a!C73</f>
        <v>0</v>
      </c>
      <c r="D18" s="1138">
        <f>SA34a!D73</f>
        <v>0</v>
      </c>
      <c r="E18" s="1139">
        <f>SA34a!E73</f>
        <v>0</v>
      </c>
      <c r="F18" s="1140">
        <f>SA34a!F73</f>
        <v>0</v>
      </c>
      <c r="G18" s="1138">
        <f>SA34a!G73</f>
        <v>0</v>
      </c>
      <c r="H18" s="1141">
        <f>SA34a!H73</f>
        <v>0</v>
      </c>
      <c r="I18" s="1142">
        <f>SA34a!I73</f>
        <v>0</v>
      </c>
      <c r="J18" s="1138">
        <f>SA34a!J73</f>
        <v>0</v>
      </c>
      <c r="K18" s="1139">
        <f>SA34a!K73</f>
        <v>0</v>
      </c>
    </row>
    <row r="19" spans="1:11" ht="5.0999999999999996" customHeight="1" x14ac:dyDescent="0.25">
      <c r="A19" s="1429"/>
      <c r="B19" s="182"/>
      <c r="C19" s="207"/>
      <c r="D19" s="207"/>
      <c r="E19" s="264"/>
      <c r="F19" s="251"/>
      <c r="G19" s="207"/>
      <c r="H19" s="210"/>
      <c r="I19" s="211"/>
      <c r="J19" s="207"/>
      <c r="K19" s="264"/>
    </row>
    <row r="20" spans="1:11" ht="11.25" customHeight="1" x14ac:dyDescent="0.25">
      <c r="A20" s="1536" t="s">
        <v>439</v>
      </c>
      <c r="B20" s="182">
        <v>2</v>
      </c>
      <c r="C20" s="393">
        <f>SUM(C26:C33)</f>
        <v>0</v>
      </c>
      <c r="D20" s="393">
        <f>SUM(D26:D33)</f>
        <v>0</v>
      </c>
      <c r="E20" s="345">
        <f t="shared" ref="E20:K20" si="2">SUM(E26:E33)</f>
        <v>0</v>
      </c>
      <c r="F20" s="394">
        <f t="shared" si="2"/>
        <v>0</v>
      </c>
      <c r="G20" s="393">
        <f t="shared" si="2"/>
        <v>0</v>
      </c>
      <c r="H20" s="395">
        <f t="shared" si="2"/>
        <v>0</v>
      </c>
      <c r="I20" s="1465">
        <f t="shared" si="2"/>
        <v>0</v>
      </c>
      <c r="J20" s="393">
        <f t="shared" si="2"/>
        <v>0</v>
      </c>
      <c r="K20" s="345">
        <f t="shared" si="2"/>
        <v>0</v>
      </c>
    </row>
    <row r="21" spans="1:11" ht="11.25" customHeight="1" x14ac:dyDescent="0.25">
      <c r="A21" s="1537" t="s">
        <v>387</v>
      </c>
      <c r="B21" s="350"/>
      <c r="C21" s="1059">
        <f>SA34b!C7</f>
        <v>0</v>
      </c>
      <c r="D21" s="1059">
        <f>SA34b!D7</f>
        <v>0</v>
      </c>
      <c r="E21" s="1060">
        <f>SA34b!E7</f>
        <v>0</v>
      </c>
      <c r="F21" s="1061">
        <f>SA34b!F7</f>
        <v>0</v>
      </c>
      <c r="G21" s="1059">
        <f>SA34b!G7</f>
        <v>0</v>
      </c>
      <c r="H21" s="1062">
        <f>SA34b!H7</f>
        <v>0</v>
      </c>
      <c r="I21" s="1063">
        <f>SA34b!I7</f>
        <v>0</v>
      </c>
      <c r="J21" s="1059">
        <f>SA34b!J7</f>
        <v>0</v>
      </c>
      <c r="K21" s="1060">
        <f>SA34b!K7</f>
        <v>0</v>
      </c>
    </row>
    <row r="22" spans="1:11" ht="11.25" customHeight="1" x14ac:dyDescent="0.25">
      <c r="A22" s="1537" t="s">
        <v>746</v>
      </c>
      <c r="B22" s="350"/>
      <c r="C22" s="1059">
        <f>SA34b!C10</f>
        <v>0</v>
      </c>
      <c r="D22" s="1059">
        <f>SA34b!D10</f>
        <v>0</v>
      </c>
      <c r="E22" s="1060">
        <f>SA34b!E10</f>
        <v>0</v>
      </c>
      <c r="F22" s="1061">
        <f>SA34b!F10</f>
        <v>0</v>
      </c>
      <c r="G22" s="1059">
        <f>SA34b!G10</f>
        <v>0</v>
      </c>
      <c r="H22" s="1062">
        <f>SA34b!H10</f>
        <v>0</v>
      </c>
      <c r="I22" s="1063">
        <f>SA34b!I10</f>
        <v>0</v>
      </c>
      <c r="J22" s="1059">
        <f>SA34b!J10</f>
        <v>0</v>
      </c>
      <c r="K22" s="1060">
        <f>SA34b!K10</f>
        <v>0</v>
      </c>
    </row>
    <row r="23" spans="1:11" ht="11.25" customHeight="1" x14ac:dyDescent="0.25">
      <c r="A23" s="1537" t="s">
        <v>388</v>
      </c>
      <c r="B23" s="350"/>
      <c r="C23" s="1059">
        <f>SA34b!C14</f>
        <v>0</v>
      </c>
      <c r="D23" s="1059">
        <f>SA34b!D14</f>
        <v>0</v>
      </c>
      <c r="E23" s="1060">
        <f>SA34b!E14</f>
        <v>0</v>
      </c>
      <c r="F23" s="1061">
        <f>SA34b!F14</f>
        <v>0</v>
      </c>
      <c r="G23" s="1059">
        <f>SA34b!G14</f>
        <v>0</v>
      </c>
      <c r="H23" s="1062">
        <f>SA34b!H14</f>
        <v>0</v>
      </c>
      <c r="I23" s="1063">
        <f>SA34b!I14</f>
        <v>0</v>
      </c>
      <c r="J23" s="1059">
        <f>SA34b!J14</f>
        <v>0</v>
      </c>
      <c r="K23" s="1060">
        <f>SA34b!K14</f>
        <v>0</v>
      </c>
    </row>
    <row r="24" spans="1:11" ht="11.25" customHeight="1" x14ac:dyDescent="0.25">
      <c r="A24" s="1537" t="s">
        <v>389</v>
      </c>
      <c r="B24" s="350"/>
      <c r="C24" s="1059">
        <f>SA34b!C18</f>
        <v>0</v>
      </c>
      <c r="D24" s="1059">
        <f>SA34b!D18</f>
        <v>0</v>
      </c>
      <c r="E24" s="1060">
        <f>SA34b!E18</f>
        <v>0</v>
      </c>
      <c r="F24" s="1061">
        <f>SA34b!F18</f>
        <v>0</v>
      </c>
      <c r="G24" s="1059">
        <f>SA34b!G18</f>
        <v>0</v>
      </c>
      <c r="H24" s="1062">
        <f>SA34b!H18</f>
        <v>0</v>
      </c>
      <c r="I24" s="1063">
        <f>SA34b!I18</f>
        <v>0</v>
      </c>
      <c r="J24" s="1059">
        <f>SA34b!J18</f>
        <v>0</v>
      </c>
      <c r="K24" s="1060">
        <f>SA34b!K18</f>
        <v>0</v>
      </c>
    </row>
    <row r="25" spans="1:11" ht="11.25" customHeight="1" x14ac:dyDescent="0.25">
      <c r="A25" s="1537" t="s">
        <v>686</v>
      </c>
      <c r="B25" s="350"/>
      <c r="C25" s="1059">
        <f>SA34b!C21</f>
        <v>0</v>
      </c>
      <c r="D25" s="1059">
        <f>SA34b!D21</f>
        <v>0</v>
      </c>
      <c r="E25" s="1060">
        <f>SA34b!E21</f>
        <v>0</v>
      </c>
      <c r="F25" s="1061">
        <f>SA34b!F21</f>
        <v>0</v>
      </c>
      <c r="G25" s="1059">
        <f>SA34b!G21</f>
        <v>0</v>
      </c>
      <c r="H25" s="1062">
        <f>SA34b!H21</f>
        <v>0</v>
      </c>
      <c r="I25" s="1063">
        <f>SA34b!I21</f>
        <v>0</v>
      </c>
      <c r="J25" s="1059">
        <f>SA34b!J21</f>
        <v>0</v>
      </c>
      <c r="K25" s="1060">
        <f>SA34b!K21</f>
        <v>0</v>
      </c>
    </row>
    <row r="26" spans="1:11" ht="11.25" customHeight="1" x14ac:dyDescent="0.25">
      <c r="A26" s="1427" t="str">
        <f>$A$11</f>
        <v>Infrastructure</v>
      </c>
      <c r="B26" s="368"/>
      <c r="C26" s="1020">
        <f>SUM(C21:C25)</f>
        <v>0</v>
      </c>
      <c r="D26" s="1020">
        <f>SUM(D21:D25)</f>
        <v>0</v>
      </c>
      <c r="E26" s="1021">
        <f t="shared" ref="E26:K26" si="3">SUM(E21:E25)</f>
        <v>0</v>
      </c>
      <c r="F26" s="1022">
        <f t="shared" si="3"/>
        <v>0</v>
      </c>
      <c r="G26" s="1020">
        <f t="shared" si="3"/>
        <v>0</v>
      </c>
      <c r="H26" s="1023">
        <f t="shared" si="3"/>
        <v>0</v>
      </c>
      <c r="I26" s="1024">
        <f t="shared" si="3"/>
        <v>0</v>
      </c>
      <c r="J26" s="1020">
        <f t="shared" si="3"/>
        <v>0</v>
      </c>
      <c r="K26" s="1021">
        <f t="shared" si="3"/>
        <v>0</v>
      </c>
    </row>
    <row r="27" spans="1:11" ht="11.25" customHeight="1" x14ac:dyDescent="0.25">
      <c r="A27" s="1428" t="str">
        <f>A12</f>
        <v>Community</v>
      </c>
      <c r="B27" s="274"/>
      <c r="C27" s="1059">
        <f>SA34b!C27</f>
        <v>0</v>
      </c>
      <c r="D27" s="1059">
        <f>SA34b!D27</f>
        <v>0</v>
      </c>
      <c r="E27" s="1060">
        <f>SA34b!E27</f>
        <v>0</v>
      </c>
      <c r="F27" s="1061">
        <f>SA34b!F27</f>
        <v>0</v>
      </c>
      <c r="G27" s="1059">
        <f>SA34b!G27</f>
        <v>0</v>
      </c>
      <c r="H27" s="1062">
        <f>SA34b!H27</f>
        <v>0</v>
      </c>
      <c r="I27" s="1063">
        <f>SA34b!I27</f>
        <v>0</v>
      </c>
      <c r="J27" s="1059">
        <f>SA34b!J27</f>
        <v>0</v>
      </c>
      <c r="K27" s="1060">
        <f>SA34b!K27</f>
        <v>0</v>
      </c>
    </row>
    <row r="28" spans="1:11" ht="11.25" customHeight="1" x14ac:dyDescent="0.25">
      <c r="A28" s="1428" t="str">
        <f>A13</f>
        <v>Heritage assets</v>
      </c>
      <c r="B28" s="274"/>
      <c r="C28" s="1460">
        <f>SA34b!C43</f>
        <v>0</v>
      </c>
      <c r="D28" s="1460">
        <f>SA34b!D43</f>
        <v>0</v>
      </c>
      <c r="E28" s="1461">
        <f>SA34b!E43</f>
        <v>0</v>
      </c>
      <c r="F28" s="1462">
        <f>SA34b!F43</f>
        <v>0</v>
      </c>
      <c r="G28" s="1460">
        <f>SA34b!G43</f>
        <v>0</v>
      </c>
      <c r="H28" s="1463">
        <f>SA34b!H43</f>
        <v>0</v>
      </c>
      <c r="I28" s="1464">
        <f>SA34b!I43</f>
        <v>0</v>
      </c>
      <c r="J28" s="1460">
        <f>SA34b!J43</f>
        <v>0</v>
      </c>
      <c r="K28" s="1461">
        <f>SA34b!K43</f>
        <v>0</v>
      </c>
    </row>
    <row r="29" spans="1:11" ht="11.25" customHeight="1" x14ac:dyDescent="0.25">
      <c r="A29" s="1428" t="str">
        <f>A14</f>
        <v>Investment properties</v>
      </c>
      <c r="B29" s="274"/>
      <c r="C29" s="1059">
        <f>SA34b!C47</f>
        <v>0</v>
      </c>
      <c r="D29" s="1059">
        <f>SA34b!D47</f>
        <v>0</v>
      </c>
      <c r="E29" s="1060">
        <f>SA34b!E47</f>
        <v>0</v>
      </c>
      <c r="F29" s="1061">
        <f>SA34b!F47</f>
        <v>0</v>
      </c>
      <c r="G29" s="1059">
        <f>SA34b!G47</f>
        <v>0</v>
      </c>
      <c r="H29" s="1062">
        <f>SA34b!H47</f>
        <v>0</v>
      </c>
      <c r="I29" s="1063">
        <f>SA34b!I47</f>
        <v>0</v>
      </c>
      <c r="J29" s="1059">
        <f>SA34b!J47</f>
        <v>0</v>
      </c>
      <c r="K29" s="1060">
        <f>SA34b!K47</f>
        <v>0</v>
      </c>
    </row>
    <row r="30" spans="1:11" ht="11.25" customHeight="1" x14ac:dyDescent="0.25">
      <c r="A30" s="1428" t="str">
        <f>A15</f>
        <v>Other assets</v>
      </c>
      <c r="B30" s="182">
        <v>6</v>
      </c>
      <c r="C30" s="1059">
        <f>SA34b!C51</f>
        <v>0</v>
      </c>
      <c r="D30" s="1059">
        <f>SA34b!D51</f>
        <v>0</v>
      </c>
      <c r="E30" s="1060">
        <f>SA34b!E51</f>
        <v>0</v>
      </c>
      <c r="F30" s="1061">
        <f>SA34b!F51</f>
        <v>0</v>
      </c>
      <c r="G30" s="1059">
        <f>SA34b!G51</f>
        <v>0</v>
      </c>
      <c r="H30" s="1062">
        <f>SA34b!H51</f>
        <v>0</v>
      </c>
      <c r="I30" s="1063">
        <f>SA34b!I51</f>
        <v>0</v>
      </c>
      <c r="J30" s="1059">
        <f>SA34b!J51</f>
        <v>0</v>
      </c>
      <c r="K30" s="1060">
        <f>SA34b!K51</f>
        <v>0</v>
      </c>
    </row>
    <row r="31" spans="1:11" x14ac:dyDescent="0.25">
      <c r="A31" s="1538" t="s">
        <v>1526</v>
      </c>
      <c r="B31" s="556"/>
      <c r="C31" s="1059">
        <f>SA34b!C65</f>
        <v>0</v>
      </c>
      <c r="D31" s="1059">
        <f>SA34b!D65</f>
        <v>0</v>
      </c>
      <c r="E31" s="1060">
        <f>SA34b!E65</f>
        <v>0</v>
      </c>
      <c r="F31" s="1061">
        <f>SA34b!F65</f>
        <v>0</v>
      </c>
      <c r="G31" s="1059">
        <f>SA34b!G65</f>
        <v>0</v>
      </c>
      <c r="H31" s="1062">
        <f>SA34b!H65</f>
        <v>0</v>
      </c>
      <c r="I31" s="1063">
        <f>SA34b!I65</f>
        <v>0</v>
      </c>
      <c r="J31" s="1059">
        <f>SA34b!J65</f>
        <v>0</v>
      </c>
      <c r="K31" s="1060">
        <f>SA34b!K65</f>
        <v>0</v>
      </c>
    </row>
    <row r="32" spans="1:11" ht="11.25" customHeight="1" x14ac:dyDescent="0.25">
      <c r="A32" s="1428" t="str">
        <f>A17</f>
        <v>Biological assets</v>
      </c>
      <c r="B32" s="182"/>
      <c r="C32" s="1059">
        <f>SA34b!C69</f>
        <v>0</v>
      </c>
      <c r="D32" s="1059">
        <f>SA34b!D69</f>
        <v>0</v>
      </c>
      <c r="E32" s="1060">
        <f>SA34b!E69</f>
        <v>0</v>
      </c>
      <c r="F32" s="1061">
        <f>SA34b!F69</f>
        <v>0</v>
      </c>
      <c r="G32" s="1059">
        <f>SA34b!G69</f>
        <v>0</v>
      </c>
      <c r="H32" s="1062">
        <f>SA34b!H69</f>
        <v>0</v>
      </c>
      <c r="I32" s="1063">
        <f>SA34b!I69</f>
        <v>0</v>
      </c>
      <c r="J32" s="1059">
        <f>SA34b!J69</f>
        <v>0</v>
      </c>
      <c r="K32" s="1060">
        <f>SA34b!K69</f>
        <v>0</v>
      </c>
    </row>
    <row r="33" spans="1:11" ht="11.25" customHeight="1" x14ac:dyDescent="0.25">
      <c r="A33" s="1428" t="str">
        <f>A18</f>
        <v>Intangibles</v>
      </c>
      <c r="B33" s="182"/>
      <c r="C33" s="1138">
        <f>SA34b!C73</f>
        <v>0</v>
      </c>
      <c r="D33" s="1138">
        <f>SA34b!D73</f>
        <v>0</v>
      </c>
      <c r="E33" s="1139">
        <f>SA34b!E73</f>
        <v>0</v>
      </c>
      <c r="F33" s="1140">
        <f>SA34b!F73</f>
        <v>0</v>
      </c>
      <c r="G33" s="1138">
        <f>SA34b!G73</f>
        <v>0</v>
      </c>
      <c r="H33" s="1141">
        <f>SA34b!H73</f>
        <v>0</v>
      </c>
      <c r="I33" s="1142">
        <f>SA34b!I73</f>
        <v>0</v>
      </c>
      <c r="J33" s="1138">
        <f>SA34b!J73</f>
        <v>0</v>
      </c>
      <c r="K33" s="1139">
        <f>SA34b!K73</f>
        <v>0</v>
      </c>
    </row>
    <row r="34" spans="1:11" ht="5.0999999999999996" customHeight="1" x14ac:dyDescent="0.25">
      <c r="A34" s="1429"/>
      <c r="B34" s="182"/>
      <c r="C34" s="207"/>
      <c r="D34" s="207"/>
      <c r="E34" s="264"/>
      <c r="F34" s="251"/>
      <c r="G34" s="207"/>
      <c r="H34" s="210"/>
      <c r="I34" s="211"/>
      <c r="J34" s="207"/>
      <c r="K34" s="264"/>
    </row>
    <row r="35" spans="1:11" ht="11.25" customHeight="1" x14ac:dyDescent="0.25">
      <c r="A35" s="1536" t="s">
        <v>598</v>
      </c>
      <c r="B35" s="182">
        <v>4</v>
      </c>
      <c r="C35" s="203"/>
      <c r="D35" s="203"/>
      <c r="E35" s="204"/>
      <c r="F35" s="205"/>
      <c r="G35" s="203"/>
      <c r="H35" s="202"/>
      <c r="I35" s="206"/>
      <c r="J35" s="203"/>
      <c r="K35" s="204"/>
    </row>
    <row r="36" spans="1:11" ht="11.25" customHeight="1" x14ac:dyDescent="0.25">
      <c r="A36" s="1537" t="s">
        <v>387</v>
      </c>
      <c r="B36" s="350"/>
      <c r="C36" s="207">
        <f>C6+C21</f>
        <v>0</v>
      </c>
      <c r="D36" s="207">
        <f t="shared" ref="D36:K36" si="4">D6+D21</f>
        <v>7741027</v>
      </c>
      <c r="E36" s="264">
        <f t="shared" si="4"/>
        <v>72282512</v>
      </c>
      <c r="F36" s="251">
        <f t="shared" si="4"/>
        <v>23280750</v>
      </c>
      <c r="G36" s="207">
        <f t="shared" si="4"/>
        <v>3479135.0599999987</v>
      </c>
      <c r="H36" s="210">
        <f t="shared" si="4"/>
        <v>3479135.0599999987</v>
      </c>
      <c r="I36" s="211">
        <f t="shared" si="4"/>
        <v>0</v>
      </c>
      <c r="J36" s="207">
        <f t="shared" si="4"/>
        <v>0</v>
      </c>
      <c r="K36" s="264">
        <f t="shared" si="4"/>
        <v>0</v>
      </c>
    </row>
    <row r="37" spans="1:11" ht="11.25" customHeight="1" x14ac:dyDescent="0.25">
      <c r="A37" s="1537" t="s">
        <v>746</v>
      </c>
      <c r="B37" s="350"/>
      <c r="C37" s="207">
        <f>C7+C22</f>
        <v>0</v>
      </c>
      <c r="D37" s="207">
        <f t="shared" ref="D37:K38" si="5">D7+D22</f>
        <v>1317890</v>
      </c>
      <c r="E37" s="264">
        <f t="shared" si="5"/>
        <v>0</v>
      </c>
      <c r="F37" s="251">
        <f t="shared" si="5"/>
        <v>3000000</v>
      </c>
      <c r="G37" s="207">
        <f t="shared" si="5"/>
        <v>6564292.3799999999</v>
      </c>
      <c r="H37" s="210">
        <f t="shared" si="5"/>
        <v>6564292.3799999999</v>
      </c>
      <c r="I37" s="211">
        <f t="shared" si="5"/>
        <v>10257704</v>
      </c>
      <c r="J37" s="207">
        <f t="shared" si="5"/>
        <v>10862908.536</v>
      </c>
      <c r="K37" s="264">
        <f t="shared" si="5"/>
        <v>11471231.414016001</v>
      </c>
    </row>
    <row r="38" spans="1:11" ht="11.25" customHeight="1" x14ac:dyDescent="0.25">
      <c r="A38" s="1537" t="s">
        <v>388</v>
      </c>
      <c r="B38" s="350"/>
      <c r="C38" s="207">
        <f>C8+C23</f>
        <v>0</v>
      </c>
      <c r="D38" s="207">
        <f t="shared" si="5"/>
        <v>1895222</v>
      </c>
      <c r="E38" s="264">
        <f t="shared" si="5"/>
        <v>26214057</v>
      </c>
      <c r="F38" s="251">
        <f t="shared" si="5"/>
        <v>69539001.629999995</v>
      </c>
      <c r="G38" s="207">
        <f t="shared" si="5"/>
        <v>94490831.229999989</v>
      </c>
      <c r="H38" s="210">
        <f t="shared" si="5"/>
        <v>94490831.229999989</v>
      </c>
      <c r="I38" s="211">
        <f t="shared" si="5"/>
        <v>94645939</v>
      </c>
      <c r="J38" s="207">
        <f t="shared" si="5"/>
        <v>100230049.40099999</v>
      </c>
      <c r="K38" s="264">
        <f t="shared" si="5"/>
        <v>105842932.167456</v>
      </c>
    </row>
    <row r="39" spans="1:11" ht="11.25" customHeight="1" x14ac:dyDescent="0.25">
      <c r="A39" s="1537" t="s">
        <v>389</v>
      </c>
      <c r="B39" s="350"/>
      <c r="C39" s="207">
        <f>C9+C24</f>
        <v>0</v>
      </c>
      <c r="D39" s="207">
        <f t="shared" ref="D39:K39" si="6">D9+D24</f>
        <v>4108803</v>
      </c>
      <c r="E39" s="264">
        <f>E9+E24</f>
        <v>0</v>
      </c>
      <c r="F39" s="251">
        <f t="shared" si="6"/>
        <v>5000000</v>
      </c>
      <c r="G39" s="207">
        <f t="shared" si="6"/>
        <v>6000000</v>
      </c>
      <c r="H39" s="210">
        <f t="shared" si="6"/>
        <v>6000000</v>
      </c>
      <c r="I39" s="211">
        <f t="shared" si="6"/>
        <v>11345492</v>
      </c>
      <c r="J39" s="207">
        <f t="shared" si="6"/>
        <v>12014876.027999999</v>
      </c>
      <c r="K39" s="264">
        <f t="shared" si="6"/>
        <v>12687709.085568</v>
      </c>
    </row>
    <row r="40" spans="1:11" ht="11.25" customHeight="1" x14ac:dyDescent="0.25">
      <c r="A40" s="1537" t="s">
        <v>686</v>
      </c>
      <c r="B40" s="350"/>
      <c r="C40" s="207">
        <f t="shared" ref="C40:K40" si="7">C10+C25</f>
        <v>44966000</v>
      </c>
      <c r="D40" s="207">
        <f t="shared" si="7"/>
        <v>0</v>
      </c>
      <c r="E40" s="264">
        <f t="shared" si="7"/>
        <v>0</v>
      </c>
      <c r="F40" s="251">
        <f t="shared" si="7"/>
        <v>10000000</v>
      </c>
      <c r="G40" s="207">
        <f t="shared" si="7"/>
        <v>716244.24000000022</v>
      </c>
      <c r="H40" s="210">
        <f t="shared" si="7"/>
        <v>716244.24000000022</v>
      </c>
      <c r="I40" s="211">
        <f t="shared" si="7"/>
        <v>0</v>
      </c>
      <c r="J40" s="207">
        <f t="shared" si="7"/>
        <v>0</v>
      </c>
      <c r="K40" s="264">
        <f t="shared" si="7"/>
        <v>0</v>
      </c>
    </row>
    <row r="41" spans="1:11" ht="11.25" customHeight="1" x14ac:dyDescent="0.25">
      <c r="A41" s="1427" t="str">
        <f>$A$11</f>
        <v>Infrastructure</v>
      </c>
      <c r="B41" s="350"/>
      <c r="C41" s="1020">
        <f>SUM(C36:C40)</f>
        <v>44966000</v>
      </c>
      <c r="D41" s="1020">
        <f t="shared" ref="D41:K41" si="8">SUM(D36:D40)</f>
        <v>15062942</v>
      </c>
      <c r="E41" s="1021">
        <f t="shared" si="8"/>
        <v>98496569</v>
      </c>
      <c r="F41" s="1022">
        <f t="shared" si="8"/>
        <v>110819751.63</v>
      </c>
      <c r="G41" s="1020">
        <f t="shared" si="8"/>
        <v>111250502.90999998</v>
      </c>
      <c r="H41" s="1023">
        <f t="shared" si="8"/>
        <v>111250502.90999998</v>
      </c>
      <c r="I41" s="1024">
        <f t="shared" si="8"/>
        <v>116249135</v>
      </c>
      <c r="J41" s="1020">
        <f t="shared" si="8"/>
        <v>123107833.96499999</v>
      </c>
      <c r="K41" s="1021">
        <f t="shared" si="8"/>
        <v>130001872.66704001</v>
      </c>
    </row>
    <row r="42" spans="1:11" ht="11.25" customHeight="1" x14ac:dyDescent="0.25">
      <c r="A42" s="1428" t="str">
        <f>SA34a!A27</f>
        <v>Community</v>
      </c>
      <c r="B42" s="182"/>
      <c r="C42" s="207">
        <f t="shared" ref="C42:C48" si="9">C12+C27</f>
        <v>0</v>
      </c>
      <c r="D42" s="207">
        <f t="shared" ref="D42:K42" si="10">D12+D27</f>
        <v>259527</v>
      </c>
      <c r="E42" s="204">
        <f t="shared" si="10"/>
        <v>0</v>
      </c>
      <c r="F42" s="205">
        <f t="shared" si="10"/>
        <v>0</v>
      </c>
      <c r="G42" s="203">
        <f t="shared" si="10"/>
        <v>0</v>
      </c>
      <c r="H42" s="202">
        <f t="shared" si="10"/>
        <v>0</v>
      </c>
      <c r="I42" s="206">
        <f t="shared" si="10"/>
        <v>0</v>
      </c>
      <c r="J42" s="203">
        <f t="shared" si="10"/>
        <v>0</v>
      </c>
      <c r="K42" s="204">
        <f t="shared" si="10"/>
        <v>0</v>
      </c>
    </row>
    <row r="43" spans="1:11" ht="11.25" customHeight="1" x14ac:dyDescent="0.25">
      <c r="A43" s="1428" t="str">
        <f>SA34a!A43</f>
        <v>Heritage assets</v>
      </c>
      <c r="B43" s="182"/>
      <c r="C43" s="256">
        <f t="shared" si="9"/>
        <v>0</v>
      </c>
      <c r="D43" s="256">
        <f t="shared" ref="D43:K43" si="11">D13+D28</f>
        <v>0</v>
      </c>
      <c r="E43" s="257">
        <f t="shared" si="11"/>
        <v>0</v>
      </c>
      <c r="F43" s="296">
        <f t="shared" si="11"/>
        <v>0</v>
      </c>
      <c r="G43" s="259">
        <f t="shared" si="11"/>
        <v>0</v>
      </c>
      <c r="H43" s="255">
        <f t="shared" si="11"/>
        <v>0</v>
      </c>
      <c r="I43" s="260">
        <f t="shared" si="11"/>
        <v>0</v>
      </c>
      <c r="J43" s="259">
        <f t="shared" si="11"/>
        <v>0</v>
      </c>
      <c r="K43" s="257">
        <f t="shared" si="11"/>
        <v>0</v>
      </c>
    </row>
    <row r="44" spans="1:11" ht="11.25" customHeight="1" x14ac:dyDescent="0.25">
      <c r="A44" s="1428" t="str">
        <f>SA34a!A47</f>
        <v>Investment properties</v>
      </c>
      <c r="B44" s="182"/>
      <c r="C44" s="207">
        <f t="shared" si="9"/>
        <v>0</v>
      </c>
      <c r="D44" s="207">
        <f t="shared" ref="D44:K44" si="12">D14+D29</f>
        <v>0</v>
      </c>
      <c r="E44" s="204">
        <f t="shared" si="12"/>
        <v>0</v>
      </c>
      <c r="F44" s="205">
        <f t="shared" si="12"/>
        <v>0</v>
      </c>
      <c r="G44" s="203">
        <f t="shared" si="12"/>
        <v>0</v>
      </c>
      <c r="H44" s="202">
        <f t="shared" si="12"/>
        <v>0</v>
      </c>
      <c r="I44" s="206">
        <f t="shared" si="12"/>
        <v>0</v>
      </c>
      <c r="J44" s="203">
        <f t="shared" si="12"/>
        <v>0</v>
      </c>
      <c r="K44" s="204">
        <f t="shared" si="12"/>
        <v>0</v>
      </c>
    </row>
    <row r="45" spans="1:11" ht="11.25" customHeight="1" x14ac:dyDescent="0.25">
      <c r="A45" s="1428" t="str">
        <f>SA34a!A51</f>
        <v>Other assets</v>
      </c>
      <c r="B45" s="182"/>
      <c r="C45" s="207">
        <f t="shared" si="9"/>
        <v>0</v>
      </c>
      <c r="D45" s="207">
        <f t="shared" ref="D45:K45" si="13">D15+D30</f>
        <v>1446565</v>
      </c>
      <c r="E45" s="204">
        <f t="shared" si="13"/>
        <v>15153722</v>
      </c>
      <c r="F45" s="205">
        <f t="shared" si="13"/>
        <v>0</v>
      </c>
      <c r="G45" s="203">
        <f t="shared" si="13"/>
        <v>90000</v>
      </c>
      <c r="H45" s="202">
        <f t="shared" si="13"/>
        <v>90000</v>
      </c>
      <c r="I45" s="206">
        <f t="shared" si="13"/>
        <v>90000</v>
      </c>
      <c r="J45" s="203">
        <f t="shared" si="13"/>
        <v>95310</v>
      </c>
      <c r="K45" s="204">
        <f t="shared" si="13"/>
        <v>100647.36</v>
      </c>
    </row>
    <row r="46" spans="1:11" x14ac:dyDescent="0.25">
      <c r="A46" s="1538" t="s">
        <v>1526</v>
      </c>
      <c r="B46" s="182"/>
      <c r="C46" s="207">
        <f t="shared" si="9"/>
        <v>0</v>
      </c>
      <c r="D46" s="207">
        <f t="shared" ref="D46:K46" si="14">D16+D31</f>
        <v>0</v>
      </c>
      <c r="E46" s="204">
        <f t="shared" si="14"/>
        <v>0</v>
      </c>
      <c r="F46" s="205">
        <f t="shared" si="14"/>
        <v>0</v>
      </c>
      <c r="G46" s="203">
        <f t="shared" si="14"/>
        <v>0</v>
      </c>
      <c r="H46" s="202">
        <f t="shared" si="14"/>
        <v>0</v>
      </c>
      <c r="I46" s="206">
        <f t="shared" si="14"/>
        <v>0</v>
      </c>
      <c r="J46" s="203">
        <f t="shared" si="14"/>
        <v>0</v>
      </c>
      <c r="K46" s="204">
        <f t="shared" si="14"/>
        <v>0</v>
      </c>
    </row>
    <row r="47" spans="1:11" ht="11.25" customHeight="1" x14ac:dyDescent="0.25">
      <c r="A47" s="1428" t="str">
        <f>A32</f>
        <v>Biological assets</v>
      </c>
      <c r="B47" s="182"/>
      <c r="C47" s="207">
        <f t="shared" si="9"/>
        <v>0</v>
      </c>
      <c r="D47" s="207">
        <f t="shared" ref="D47:K47" si="15">D17+D32</f>
        <v>0</v>
      </c>
      <c r="E47" s="204">
        <f t="shared" si="15"/>
        <v>0</v>
      </c>
      <c r="F47" s="205">
        <f t="shared" si="15"/>
        <v>0</v>
      </c>
      <c r="G47" s="203">
        <f t="shared" si="15"/>
        <v>0</v>
      </c>
      <c r="H47" s="202">
        <f t="shared" si="15"/>
        <v>0</v>
      </c>
      <c r="I47" s="206">
        <f t="shared" si="15"/>
        <v>0</v>
      </c>
      <c r="J47" s="203">
        <f t="shared" si="15"/>
        <v>0</v>
      </c>
      <c r="K47" s="204">
        <f t="shared" si="15"/>
        <v>0</v>
      </c>
    </row>
    <row r="48" spans="1:11" ht="11.25" customHeight="1" x14ac:dyDescent="0.25">
      <c r="A48" s="1428" t="str">
        <f>A33</f>
        <v>Intangibles</v>
      </c>
      <c r="B48" s="182"/>
      <c r="C48" s="207">
        <f t="shared" si="9"/>
        <v>0</v>
      </c>
      <c r="D48" s="207">
        <f t="shared" ref="D48:K48" si="16">D18+D33</f>
        <v>0</v>
      </c>
      <c r="E48" s="204">
        <f t="shared" si="16"/>
        <v>0</v>
      </c>
      <c r="F48" s="205">
        <f t="shared" si="16"/>
        <v>0</v>
      </c>
      <c r="G48" s="203">
        <f t="shared" si="16"/>
        <v>0</v>
      </c>
      <c r="H48" s="202">
        <f t="shared" si="16"/>
        <v>0</v>
      </c>
      <c r="I48" s="206">
        <f t="shared" si="16"/>
        <v>0</v>
      </c>
      <c r="J48" s="203">
        <f t="shared" si="16"/>
        <v>0</v>
      </c>
      <c r="K48" s="204">
        <f t="shared" si="16"/>
        <v>0</v>
      </c>
    </row>
    <row r="49" spans="1:11" x14ac:dyDescent="0.25">
      <c r="A49" s="1539" t="s">
        <v>1417</v>
      </c>
      <c r="B49" s="225">
        <v>2</v>
      </c>
      <c r="C49" s="230">
        <f t="shared" ref="C49:K49" si="17">SUM(C41:C48)</f>
        <v>44966000</v>
      </c>
      <c r="D49" s="230">
        <f t="shared" si="17"/>
        <v>16769034</v>
      </c>
      <c r="E49" s="228">
        <f t="shared" si="17"/>
        <v>113650291</v>
      </c>
      <c r="F49" s="229">
        <f t="shared" si="17"/>
        <v>110819751.63</v>
      </c>
      <c r="G49" s="230">
        <f t="shared" si="17"/>
        <v>111340502.90999998</v>
      </c>
      <c r="H49" s="231">
        <f t="shared" si="17"/>
        <v>111340502.90999998</v>
      </c>
      <c r="I49" s="232">
        <f t="shared" si="17"/>
        <v>116339135</v>
      </c>
      <c r="J49" s="230">
        <f t="shared" si="17"/>
        <v>123203143.96499999</v>
      </c>
      <c r="K49" s="228">
        <f t="shared" si="17"/>
        <v>130102520.02704</v>
      </c>
    </row>
    <row r="50" spans="1:11" ht="5.0999999999999996" customHeight="1" x14ac:dyDescent="0.25">
      <c r="A50" s="250"/>
      <c r="B50" s="182"/>
      <c r="C50" s="203"/>
      <c r="D50" s="203"/>
      <c r="E50" s="204"/>
      <c r="F50" s="205"/>
      <c r="G50" s="203"/>
      <c r="H50" s="202"/>
      <c r="I50" s="206"/>
      <c r="J50" s="203"/>
      <c r="K50" s="204"/>
    </row>
    <row r="51" spans="1:11" ht="11.25" customHeight="1" x14ac:dyDescent="0.25">
      <c r="A51" s="326" t="s">
        <v>1421</v>
      </c>
      <c r="B51" s="182">
        <v>5</v>
      </c>
      <c r="C51" s="203"/>
      <c r="D51" s="203"/>
      <c r="E51" s="204"/>
      <c r="F51" s="205"/>
      <c r="G51" s="203"/>
      <c r="H51" s="202"/>
      <c r="I51" s="206"/>
      <c r="J51" s="203"/>
      <c r="K51" s="204"/>
    </row>
    <row r="52" spans="1:11" ht="11.25" customHeight="1" x14ac:dyDescent="0.25">
      <c r="A52" s="1466" t="s">
        <v>387</v>
      </c>
      <c r="B52" s="350"/>
      <c r="C52" s="1606"/>
      <c r="D52" s="1606">
        <v>7741027</v>
      </c>
      <c r="E52" s="1628"/>
      <c r="F52" s="1629">
        <v>23280750</v>
      </c>
      <c r="G52" s="1606">
        <v>3479135.0599999987</v>
      </c>
      <c r="H52" s="1630">
        <v>3479135.0599999987</v>
      </c>
      <c r="I52" s="1608">
        <f>SA34a!I7</f>
        <v>0</v>
      </c>
      <c r="J52" s="1606">
        <f>I52*1.055</f>
        <v>0</v>
      </c>
      <c r="K52" s="1628">
        <f>J52*1.053</f>
        <v>0</v>
      </c>
    </row>
    <row r="53" spans="1:11" ht="11.25" customHeight="1" x14ac:dyDescent="0.25">
      <c r="A53" s="1466" t="s">
        <v>746</v>
      </c>
      <c r="B53" s="350"/>
      <c r="C53" s="1606"/>
      <c r="D53" s="1606">
        <v>1317890</v>
      </c>
      <c r="E53" s="1628"/>
      <c r="F53" s="1629">
        <v>3000000</v>
      </c>
      <c r="G53" s="1606">
        <v>6564292.3799999999</v>
      </c>
      <c r="H53" s="1630">
        <v>6564292.3799999999</v>
      </c>
      <c r="I53" s="1608">
        <v>1100000</v>
      </c>
      <c r="J53" s="1606">
        <v>1160500</v>
      </c>
      <c r="K53" s="1628">
        <v>1222006.5</v>
      </c>
    </row>
    <row r="54" spans="1:11" ht="11.25" customHeight="1" x14ac:dyDescent="0.25">
      <c r="A54" s="1466" t="s">
        <v>388</v>
      </c>
      <c r="B54" s="350"/>
      <c r="C54" s="1606"/>
      <c r="D54" s="1606">
        <v>1895222</v>
      </c>
      <c r="E54" s="1628"/>
      <c r="F54" s="1629">
        <v>69539001.629999995</v>
      </c>
      <c r="G54" s="1606">
        <v>94490831.229999989</v>
      </c>
      <c r="H54" s="1630">
        <v>94490831.229999989</v>
      </c>
      <c r="I54" s="1608">
        <f>SA34a!I14</f>
        <v>94645939</v>
      </c>
      <c r="J54" s="1606">
        <f>I54*1.055</f>
        <v>99851465.644999996</v>
      </c>
      <c r="K54" s="1628">
        <f>J54*1.053</f>
        <v>105143593.32418498</v>
      </c>
    </row>
    <row r="55" spans="1:11" ht="11.25" customHeight="1" x14ac:dyDescent="0.25">
      <c r="A55" s="1466" t="s">
        <v>389</v>
      </c>
      <c r="B55" s="350"/>
      <c r="C55" s="1606"/>
      <c r="D55" s="1606">
        <v>4108803</v>
      </c>
      <c r="E55" s="1628"/>
      <c r="F55" s="1629">
        <v>5000000</v>
      </c>
      <c r="G55" s="1606">
        <v>6000000</v>
      </c>
      <c r="H55" s="1630">
        <v>6000000</v>
      </c>
      <c r="I55" s="1608">
        <f>SA34a!I18</f>
        <v>11345492</v>
      </c>
      <c r="J55" s="1606">
        <f>I55*1.055</f>
        <v>11969494.059999999</v>
      </c>
      <c r="K55" s="1628">
        <f>J55*1.053</f>
        <v>12603877.245179998</v>
      </c>
    </row>
    <row r="56" spans="1:11" ht="11.25" customHeight="1" x14ac:dyDescent="0.25">
      <c r="A56" s="1466" t="s">
        <v>686</v>
      </c>
      <c r="B56" s="350"/>
      <c r="C56" s="1606">
        <v>44966000</v>
      </c>
      <c r="D56" s="1606"/>
      <c r="E56" s="1628"/>
      <c r="F56" s="1629">
        <v>10000000</v>
      </c>
      <c r="G56" s="1606">
        <v>716244.24000000022</v>
      </c>
      <c r="H56" s="1630">
        <v>716244.24000000022</v>
      </c>
      <c r="I56" s="1608">
        <v>0</v>
      </c>
      <c r="J56" s="1606">
        <f>I56*1.055</f>
        <v>0</v>
      </c>
      <c r="K56" s="1628">
        <f>J56*1.053</f>
        <v>0</v>
      </c>
    </row>
    <row r="57" spans="1:11" ht="11.25" customHeight="1" x14ac:dyDescent="0.25">
      <c r="A57" s="254" t="str">
        <f>A41</f>
        <v>Infrastructure</v>
      </c>
      <c r="B57" s="350"/>
      <c r="C57" s="1288">
        <f>SUM(C52:C56)</f>
        <v>44966000</v>
      </c>
      <c r="D57" s="1288">
        <f t="shared" ref="D57:K57" si="18">SUM(D52:D56)</f>
        <v>15062942</v>
      </c>
      <c r="E57" s="1289">
        <f t="shared" si="18"/>
        <v>0</v>
      </c>
      <c r="F57" s="1290">
        <f t="shared" si="18"/>
        <v>110819751.63</v>
      </c>
      <c r="G57" s="1288">
        <f t="shared" si="18"/>
        <v>111250502.90999998</v>
      </c>
      <c r="H57" s="1291">
        <f t="shared" si="18"/>
        <v>111250502.90999998</v>
      </c>
      <c r="I57" s="1292">
        <f t="shared" si="18"/>
        <v>107091431</v>
      </c>
      <c r="J57" s="1288">
        <f t="shared" si="18"/>
        <v>112981459.705</v>
      </c>
      <c r="K57" s="1289">
        <f t="shared" si="18"/>
        <v>118969477.06936498</v>
      </c>
    </row>
    <row r="58" spans="1:11" ht="11.25" customHeight="1" x14ac:dyDescent="0.25">
      <c r="A58" s="250" t="str">
        <f>A12</f>
        <v>Community</v>
      </c>
      <c r="B58" s="182"/>
      <c r="C58" s="1606"/>
      <c r="D58" s="1606">
        <v>259527</v>
      </c>
      <c r="E58" s="1628"/>
      <c r="F58" s="1629"/>
      <c r="G58" s="1606"/>
      <c r="H58" s="1630"/>
      <c r="I58" s="1608">
        <v>10000000</v>
      </c>
      <c r="J58" s="1606">
        <f>I58*1.055</f>
        <v>10550000</v>
      </c>
      <c r="K58" s="1628">
        <f>J58*1.053</f>
        <v>11109150</v>
      </c>
    </row>
    <row r="59" spans="1:11" ht="11.25" customHeight="1" x14ac:dyDescent="0.25">
      <c r="A59" s="250" t="str">
        <f>A13</f>
        <v>Heritage assets</v>
      </c>
      <c r="B59" s="182"/>
      <c r="C59" s="1631"/>
      <c r="D59" s="1631"/>
      <c r="E59" s="1632"/>
      <c r="F59" s="1633"/>
      <c r="G59" s="1631"/>
      <c r="H59" s="1634"/>
      <c r="I59" s="1635"/>
      <c r="J59" s="1631"/>
      <c r="K59" s="1632"/>
    </row>
    <row r="60" spans="1:11" ht="11.25" customHeight="1" x14ac:dyDescent="0.25">
      <c r="A60" s="250" t="str">
        <f>A14</f>
        <v>Investment properties</v>
      </c>
      <c r="B60" s="182"/>
      <c r="C60" s="1059">
        <f>'A6-FinPos'!C17</f>
        <v>0</v>
      </c>
      <c r="D60" s="1059">
        <f>'A6-FinPos'!D17</f>
        <v>0</v>
      </c>
      <c r="E60" s="1060">
        <f>'A6-FinPos'!E17</f>
        <v>0</v>
      </c>
      <c r="F60" s="1061">
        <f>'A6-FinPos'!F17</f>
        <v>0</v>
      </c>
      <c r="G60" s="1059">
        <f>'A6-FinPos'!G17</f>
        <v>0</v>
      </c>
      <c r="H60" s="1062">
        <f>'A6-FinPos'!H17</f>
        <v>0</v>
      </c>
      <c r="I60" s="1063">
        <f>'A6-FinPos'!J17</f>
        <v>0</v>
      </c>
      <c r="J60" s="1059">
        <f>'A6-FinPos'!K17</f>
        <v>0</v>
      </c>
      <c r="K60" s="1060">
        <f>'A6-FinPos'!L17</f>
        <v>0</v>
      </c>
    </row>
    <row r="61" spans="1:11" ht="11.25" customHeight="1" x14ac:dyDescent="0.25">
      <c r="A61" s="250" t="str">
        <f>A15</f>
        <v>Other assets</v>
      </c>
      <c r="B61" s="182"/>
      <c r="C61" s="1606"/>
      <c r="D61" s="1606">
        <v>1446565</v>
      </c>
      <c r="E61" s="1628"/>
      <c r="F61" s="1629"/>
      <c r="G61" s="1606">
        <v>1908268802.3699999</v>
      </c>
      <c r="H61" s="1630">
        <v>1908268802.3699999</v>
      </c>
      <c r="I61" s="1608">
        <v>1576074618.4360001</v>
      </c>
      <c r="J61" s="1606">
        <v>1669531386.6477201</v>
      </c>
      <c r="K61" s="1628">
        <v>1763395738.6791101</v>
      </c>
    </row>
    <row r="62" spans="1:11" x14ac:dyDescent="0.25">
      <c r="A62" s="190" t="s">
        <v>1526</v>
      </c>
      <c r="B62" s="182"/>
      <c r="C62" s="1059">
        <f>'A6-FinPos'!C20</f>
        <v>0</v>
      </c>
      <c r="D62" s="1059">
        <f>'A6-FinPos'!D20</f>
        <v>0</v>
      </c>
      <c r="E62" s="1060">
        <f>'A6-FinPos'!E20</f>
        <v>0</v>
      </c>
      <c r="F62" s="1061">
        <f>'A6-FinPos'!F20</f>
        <v>0</v>
      </c>
      <c r="G62" s="1059">
        <f>'A6-FinPos'!G20</f>
        <v>0</v>
      </c>
      <c r="H62" s="1062">
        <f>'A6-FinPos'!H20</f>
        <v>0</v>
      </c>
      <c r="I62" s="1063">
        <f>'A6-FinPos'!J20</f>
        <v>0</v>
      </c>
      <c r="J62" s="1059">
        <f>'A6-FinPos'!K20</f>
        <v>0</v>
      </c>
      <c r="K62" s="1060">
        <f>'A6-FinPos'!L20</f>
        <v>0</v>
      </c>
    </row>
    <row r="63" spans="1:11" ht="11.25" customHeight="1" x14ac:dyDescent="0.25">
      <c r="A63" s="250" t="str">
        <f>A17</f>
        <v>Biological assets</v>
      </c>
      <c r="B63" s="182"/>
      <c r="C63" s="1059">
        <f>'A6-FinPos'!C21</f>
        <v>0</v>
      </c>
      <c r="D63" s="1059">
        <f>'A6-FinPos'!D21</f>
        <v>0</v>
      </c>
      <c r="E63" s="1060">
        <f>'A6-FinPos'!E21</f>
        <v>0</v>
      </c>
      <c r="F63" s="1061">
        <f>'A6-FinPos'!F21</f>
        <v>0</v>
      </c>
      <c r="G63" s="1059">
        <f>'A6-FinPos'!G21</f>
        <v>0</v>
      </c>
      <c r="H63" s="1062">
        <f>'A6-FinPos'!H21</f>
        <v>0</v>
      </c>
      <c r="I63" s="1063">
        <f>'A6-FinPos'!J21</f>
        <v>0</v>
      </c>
      <c r="J63" s="1059">
        <f>'A6-FinPos'!K21</f>
        <v>0</v>
      </c>
      <c r="K63" s="1060">
        <f>'A6-FinPos'!L21</f>
        <v>0</v>
      </c>
    </row>
    <row r="64" spans="1:11" ht="11.25" customHeight="1" x14ac:dyDescent="0.25">
      <c r="A64" s="250" t="str">
        <f>A18</f>
        <v>Intangibles</v>
      </c>
      <c r="B64" s="182"/>
      <c r="C64" s="1059">
        <f>'A6-FinPos'!C22</f>
        <v>270014000</v>
      </c>
      <c r="D64" s="1059">
        <f>'A6-FinPos'!D22</f>
        <v>0</v>
      </c>
      <c r="E64" s="1060">
        <f>'A6-FinPos'!E22</f>
        <v>0</v>
      </c>
      <c r="F64" s="1061">
        <f>'A6-FinPos'!F22</f>
        <v>0</v>
      </c>
      <c r="G64" s="1059">
        <f>'A6-FinPos'!G22</f>
        <v>0</v>
      </c>
      <c r="H64" s="1062">
        <f>'A6-FinPos'!H22</f>
        <v>0</v>
      </c>
      <c r="I64" s="1063">
        <f>'A6-FinPos'!J22</f>
        <v>0</v>
      </c>
      <c r="J64" s="1059">
        <f>'A6-FinPos'!K22</f>
        <v>0</v>
      </c>
      <c r="K64" s="1060">
        <f>'A6-FinPos'!L22</f>
        <v>0</v>
      </c>
    </row>
    <row r="65" spans="1:11" ht="11.25" customHeight="1" x14ac:dyDescent="0.25">
      <c r="A65" s="1539" t="s">
        <v>1422</v>
      </c>
      <c r="B65" s="225">
        <v>5</v>
      </c>
      <c r="C65" s="230">
        <f t="shared" ref="C65:K65" si="19">SUM(C57:C64)</f>
        <v>314980000</v>
      </c>
      <c r="D65" s="230">
        <f t="shared" si="19"/>
        <v>16769034</v>
      </c>
      <c r="E65" s="228">
        <f t="shared" si="19"/>
        <v>0</v>
      </c>
      <c r="F65" s="229">
        <f t="shared" si="19"/>
        <v>110819751.63</v>
      </c>
      <c r="G65" s="230">
        <f t="shared" si="19"/>
        <v>2019519305.28</v>
      </c>
      <c r="H65" s="231">
        <f t="shared" si="19"/>
        <v>2019519305.28</v>
      </c>
      <c r="I65" s="354">
        <f t="shared" si="19"/>
        <v>1693166049.4360001</v>
      </c>
      <c r="J65" s="230">
        <f t="shared" si="19"/>
        <v>1793062846.35272</v>
      </c>
      <c r="K65" s="228">
        <f t="shared" si="19"/>
        <v>1893474365.7484751</v>
      </c>
    </row>
    <row r="66" spans="1:11" ht="5.0999999999999996" customHeight="1" x14ac:dyDescent="0.25">
      <c r="A66" s="250"/>
      <c r="B66" s="182"/>
      <c r="C66" s="203"/>
      <c r="D66" s="203"/>
      <c r="E66" s="204"/>
      <c r="F66" s="205"/>
      <c r="G66" s="203"/>
      <c r="H66" s="202"/>
      <c r="I66" s="206"/>
      <c r="J66" s="203"/>
      <c r="K66" s="204"/>
    </row>
    <row r="67" spans="1:11" ht="11.25" customHeight="1" x14ac:dyDescent="0.25">
      <c r="A67" s="371" t="s">
        <v>1418</v>
      </c>
      <c r="B67" s="182"/>
      <c r="C67" s="218"/>
      <c r="D67" s="218"/>
      <c r="E67" s="219"/>
      <c r="F67" s="220"/>
      <c r="G67" s="218"/>
      <c r="H67" s="217"/>
      <c r="I67" s="221"/>
      <c r="J67" s="218"/>
      <c r="K67" s="219"/>
    </row>
    <row r="68" spans="1:11" ht="11.25" customHeight="1" x14ac:dyDescent="0.25">
      <c r="A68" s="1298" t="str">
        <f>'A4-FinPerf RE'!A28</f>
        <v>Depreciation &amp; asset impairment</v>
      </c>
      <c r="B68" s="182"/>
      <c r="C68" s="203">
        <f>'A4-FinPerf RE'!C28</f>
        <v>64066096</v>
      </c>
      <c r="D68" s="203">
        <f>'A4-FinPerf RE'!D28</f>
        <v>149019344</v>
      </c>
      <c r="E68" s="204">
        <f>'A4-FinPerf RE'!E28</f>
        <v>130728341</v>
      </c>
      <c r="F68" s="205">
        <f>'A4-FinPerf RE'!F28</f>
        <v>174084397.236</v>
      </c>
      <c r="G68" s="203">
        <f>'A4-FinPerf RE'!G28</f>
        <v>43649999.996000007</v>
      </c>
      <c r="H68" s="202">
        <f>'A4-FinPerf RE'!H28</f>
        <v>43649999.996000007</v>
      </c>
      <c r="I68" s="206">
        <f>'A4-FinPerf RE'!J28</f>
        <v>151000100</v>
      </c>
      <c r="J68" s="203">
        <f>'A4-FinPerf RE'!K28</f>
        <v>159909105.90000001</v>
      </c>
      <c r="K68" s="204">
        <f>'A4-FinPerf RE'!L28</f>
        <v>168864015.83040002</v>
      </c>
    </row>
    <row r="69" spans="1:11" ht="11.25" customHeight="1" x14ac:dyDescent="0.25">
      <c r="A69" s="1298" t="s">
        <v>390</v>
      </c>
      <c r="B69" s="182">
        <v>3</v>
      </c>
      <c r="C69" s="203">
        <f>SUM(C75:C79)</f>
        <v>0</v>
      </c>
      <c r="D69" s="203">
        <f t="shared" ref="D69:K69" si="20">SUM(D75:D79)</f>
        <v>25994364</v>
      </c>
      <c r="E69" s="204">
        <f t="shared" si="20"/>
        <v>19558082.859999999</v>
      </c>
      <c r="F69" s="205">
        <f t="shared" si="20"/>
        <v>17850000</v>
      </c>
      <c r="G69" s="203">
        <f t="shared" si="20"/>
        <v>13128294.41</v>
      </c>
      <c r="H69" s="202">
        <f t="shared" si="20"/>
        <v>13128294.41</v>
      </c>
      <c r="I69" s="206">
        <f t="shared" si="20"/>
        <v>19090000</v>
      </c>
      <c r="J69" s="203">
        <f t="shared" si="20"/>
        <v>20216310</v>
      </c>
      <c r="K69" s="204">
        <f t="shared" si="20"/>
        <v>21348423.359999999</v>
      </c>
    </row>
    <row r="70" spans="1:11" ht="11.25" customHeight="1" x14ac:dyDescent="0.25">
      <c r="A70" s="1466" t="s">
        <v>387</v>
      </c>
      <c r="B70" s="350"/>
      <c r="C70" s="1059">
        <f>SA34c!C7</f>
        <v>0</v>
      </c>
      <c r="D70" s="1059">
        <f>SA34c!D7</f>
        <v>7033609</v>
      </c>
      <c r="E70" s="1060">
        <f>SA34c!E7</f>
        <v>1561551.03</v>
      </c>
      <c r="F70" s="1061">
        <f>SA34c!F7</f>
        <v>1700000</v>
      </c>
      <c r="G70" s="1059">
        <f>SA34c!G7</f>
        <v>0</v>
      </c>
      <c r="H70" s="1062">
        <f>SA34c!H7</f>
        <v>0</v>
      </c>
      <c r="I70" s="1063">
        <f>SA34c!I7</f>
        <v>600000</v>
      </c>
      <c r="J70" s="1059">
        <f>SA34c!J7</f>
        <v>635400</v>
      </c>
      <c r="K70" s="1060">
        <f>SA34c!K7</f>
        <v>670982.40000000002</v>
      </c>
    </row>
    <row r="71" spans="1:11" ht="11.25" customHeight="1" x14ac:dyDescent="0.25">
      <c r="A71" s="1466" t="s">
        <v>746</v>
      </c>
      <c r="B71" s="350"/>
      <c r="C71" s="1059">
        <f>SA34c!C10</f>
        <v>0</v>
      </c>
      <c r="D71" s="1059">
        <f>SA34c!D10</f>
        <v>627746</v>
      </c>
      <c r="E71" s="1060">
        <f>SA34c!E10</f>
        <v>195172.68</v>
      </c>
      <c r="F71" s="1061">
        <f>SA34c!F10</f>
        <v>100000</v>
      </c>
      <c r="G71" s="1059">
        <f>SA34c!G10</f>
        <v>0</v>
      </c>
      <c r="H71" s="1062">
        <f>SA34c!H10</f>
        <v>0</v>
      </c>
      <c r="I71" s="1063">
        <f>SA34c!I10</f>
        <v>100000</v>
      </c>
      <c r="J71" s="1059">
        <f>SA34c!J10</f>
        <v>105900</v>
      </c>
      <c r="K71" s="1060">
        <f>SA34c!K10</f>
        <v>111830.40000000001</v>
      </c>
    </row>
    <row r="72" spans="1:11" ht="11.25" customHeight="1" x14ac:dyDescent="0.25">
      <c r="A72" s="1466" t="s">
        <v>388</v>
      </c>
      <c r="B72" s="350"/>
      <c r="C72" s="1059">
        <f>SA34c!C14</f>
        <v>0</v>
      </c>
      <c r="D72" s="1059">
        <f>SA34c!D14</f>
        <v>13321102</v>
      </c>
      <c r="E72" s="1060">
        <f>SA34c!E14</f>
        <v>16327535.17</v>
      </c>
      <c r="F72" s="1061">
        <f>SA34c!F14</f>
        <v>14200000</v>
      </c>
      <c r="G72" s="1059">
        <f>SA34c!G14</f>
        <v>11951300</v>
      </c>
      <c r="H72" s="1062">
        <f>SA34c!H14</f>
        <v>11951300</v>
      </c>
      <c r="I72" s="1063">
        <f>SA34c!I14</f>
        <v>650000</v>
      </c>
      <c r="J72" s="1059">
        <f>SA34c!J14</f>
        <v>688350</v>
      </c>
      <c r="K72" s="1060">
        <f>SA34c!K14</f>
        <v>726897.6</v>
      </c>
    </row>
    <row r="73" spans="1:11" ht="11.25" customHeight="1" x14ac:dyDescent="0.25">
      <c r="A73" s="1466" t="s">
        <v>389</v>
      </c>
      <c r="B73" s="350"/>
      <c r="C73" s="1059">
        <f>SA34c!C18</f>
        <v>0</v>
      </c>
      <c r="D73" s="1059">
        <f>SA34c!D18</f>
        <v>1040423</v>
      </c>
      <c r="E73" s="1060">
        <f>SA34c!E18</f>
        <v>0</v>
      </c>
      <c r="F73" s="1061">
        <f>SA34c!F18</f>
        <v>0</v>
      </c>
      <c r="G73" s="1059">
        <f>SA34c!G18</f>
        <v>149830.39999999999</v>
      </c>
      <c r="H73" s="1062">
        <f>SA34c!H18</f>
        <v>149830.39999999999</v>
      </c>
      <c r="I73" s="1063">
        <f>SA34c!I18</f>
        <v>15300000</v>
      </c>
      <c r="J73" s="1059">
        <f>SA34c!J18</f>
        <v>16202700</v>
      </c>
      <c r="K73" s="1060">
        <f>SA34c!K18</f>
        <v>17110051.199999999</v>
      </c>
    </row>
    <row r="74" spans="1:11" ht="11.25" customHeight="1" x14ac:dyDescent="0.25">
      <c r="A74" s="1466" t="s">
        <v>686</v>
      </c>
      <c r="B74" s="350"/>
      <c r="C74" s="1059">
        <f>SA34c!C21</f>
        <v>0</v>
      </c>
      <c r="D74" s="1059">
        <f>SA34c!D21</f>
        <v>0</v>
      </c>
      <c r="E74" s="1060">
        <f>SA34c!E21</f>
        <v>0</v>
      </c>
      <c r="F74" s="1061">
        <f>SA34c!F21</f>
        <v>250000</v>
      </c>
      <c r="G74" s="1059">
        <f>SA34c!G21</f>
        <v>0</v>
      </c>
      <c r="H74" s="1062">
        <f>SA34c!H21</f>
        <v>0</v>
      </c>
      <c r="I74" s="1063">
        <f>SA34c!I21</f>
        <v>0</v>
      </c>
      <c r="J74" s="1059">
        <f>SA34c!J21</f>
        <v>0</v>
      </c>
      <c r="K74" s="1060">
        <f>SA34c!K21</f>
        <v>0</v>
      </c>
    </row>
    <row r="75" spans="1:11" ht="11.25" customHeight="1" x14ac:dyDescent="0.25">
      <c r="A75" s="364" t="str">
        <f>$A$11</f>
        <v>Infrastructure</v>
      </c>
      <c r="B75" s="350"/>
      <c r="C75" s="1020">
        <f>SUM(C70:C74)</f>
        <v>0</v>
      </c>
      <c r="D75" s="1020">
        <f t="shared" ref="D75:K75" si="21">SUM(D70:D74)</f>
        <v>22022880</v>
      </c>
      <c r="E75" s="1021">
        <f t="shared" si="21"/>
        <v>18084258.879999999</v>
      </c>
      <c r="F75" s="1022">
        <f t="shared" si="21"/>
        <v>16250000</v>
      </c>
      <c r="G75" s="1020">
        <f t="shared" si="21"/>
        <v>12101130.4</v>
      </c>
      <c r="H75" s="1023">
        <f t="shared" si="21"/>
        <v>12101130.4</v>
      </c>
      <c r="I75" s="1024">
        <f t="shared" si="21"/>
        <v>16650000</v>
      </c>
      <c r="J75" s="1020">
        <f t="shared" si="21"/>
        <v>17632350</v>
      </c>
      <c r="K75" s="1021">
        <f t="shared" si="21"/>
        <v>18619761.599999998</v>
      </c>
    </row>
    <row r="76" spans="1:11" ht="11.25" customHeight="1" x14ac:dyDescent="0.25">
      <c r="A76" s="367" t="str">
        <f>A12</f>
        <v>Community</v>
      </c>
      <c r="B76" s="182"/>
      <c r="C76" s="1059">
        <f>SA34c!C27</f>
        <v>0</v>
      </c>
      <c r="D76" s="1059">
        <f>SA34c!D27</f>
        <v>645857</v>
      </c>
      <c r="E76" s="1060">
        <f>SA34c!E27</f>
        <v>0</v>
      </c>
      <c r="F76" s="1061">
        <f>SA34c!F27</f>
        <v>0</v>
      </c>
      <c r="G76" s="1059">
        <f>SA34c!G27</f>
        <v>0</v>
      </c>
      <c r="H76" s="1062">
        <f>SA34c!H27</f>
        <v>0</v>
      </c>
      <c r="I76" s="1063">
        <f>SA34c!I27</f>
        <v>0</v>
      </c>
      <c r="J76" s="1059">
        <f>SA34c!J27</f>
        <v>0</v>
      </c>
      <c r="K76" s="1060">
        <f>SA34c!K27</f>
        <v>0</v>
      </c>
    </row>
    <row r="77" spans="1:11" ht="11.25" customHeight="1" x14ac:dyDescent="0.25">
      <c r="A77" s="367" t="str">
        <f>A13</f>
        <v>Heritage assets</v>
      </c>
      <c r="B77" s="182"/>
      <c r="C77" s="1460">
        <f>SA34c!C43</f>
        <v>0</v>
      </c>
      <c r="D77" s="1460">
        <f>SA34c!D43</f>
        <v>0</v>
      </c>
      <c r="E77" s="1461">
        <f>SA34c!E43</f>
        <v>0</v>
      </c>
      <c r="F77" s="1462">
        <f>SA34c!F43</f>
        <v>0</v>
      </c>
      <c r="G77" s="1460">
        <f>SA34c!G43</f>
        <v>0</v>
      </c>
      <c r="H77" s="1463">
        <f>SA34c!H43</f>
        <v>0</v>
      </c>
      <c r="I77" s="1464">
        <f>SA34c!I43</f>
        <v>0</v>
      </c>
      <c r="J77" s="1460">
        <f>SA34c!J43</f>
        <v>0</v>
      </c>
      <c r="K77" s="1461">
        <f>SA34c!K43</f>
        <v>0</v>
      </c>
    </row>
    <row r="78" spans="1:11" ht="11.25" customHeight="1" x14ac:dyDescent="0.25">
      <c r="A78" s="367" t="str">
        <f>A14</f>
        <v>Investment properties</v>
      </c>
      <c r="B78" s="182"/>
      <c r="C78" s="1059">
        <f>SA34c!C47</f>
        <v>0</v>
      </c>
      <c r="D78" s="1059">
        <f>SA34c!D47</f>
        <v>0</v>
      </c>
      <c r="E78" s="1060">
        <f>SA34c!E47</f>
        <v>0</v>
      </c>
      <c r="F78" s="1061">
        <f>SA34c!F47</f>
        <v>0</v>
      </c>
      <c r="G78" s="1059">
        <f>SA34c!G47</f>
        <v>0</v>
      </c>
      <c r="H78" s="1062">
        <f>SA34c!H47</f>
        <v>0</v>
      </c>
      <c r="I78" s="1063">
        <f>SA34c!I47</f>
        <v>0</v>
      </c>
      <c r="J78" s="1059">
        <f>SA34c!J47</f>
        <v>0</v>
      </c>
      <c r="K78" s="1060">
        <f>SA34c!K47</f>
        <v>0</v>
      </c>
    </row>
    <row r="79" spans="1:11" ht="11.25" customHeight="1" x14ac:dyDescent="0.25">
      <c r="A79" s="367" t="str">
        <f>A15</f>
        <v>Other assets</v>
      </c>
      <c r="B79" s="182" t="s">
        <v>1225</v>
      </c>
      <c r="C79" s="1059">
        <f>SA34c!C51+SA34c!C65+SA34c!C69+SA34c!C73</f>
        <v>0</v>
      </c>
      <c r="D79" s="1059">
        <f>SA34c!D51+SA34c!D65+SA34c!D69+SA34c!D73</f>
        <v>3325627</v>
      </c>
      <c r="E79" s="1060">
        <f>SA34c!E51+SA34c!E65+SA34c!E69+SA34c!E73</f>
        <v>1473823.98</v>
      </c>
      <c r="F79" s="1061">
        <f>SA34c!F51+SA34c!F65+SA34c!F69+SA34c!F73</f>
        <v>1600000</v>
      </c>
      <c r="G79" s="1059">
        <f>SA34c!G51+SA34c!G65+SA34c!G69+SA34c!G73</f>
        <v>1027164.01</v>
      </c>
      <c r="H79" s="1062">
        <f>SA34c!H51+SA34c!H65+SA34c!H69+SA34c!H73</f>
        <v>1027164.01</v>
      </c>
      <c r="I79" s="1063">
        <f>SA34c!I51+SA34c!I65+SA34c!I69+SA34c!I73</f>
        <v>2440000</v>
      </c>
      <c r="J79" s="1059">
        <f>SA34c!J51+SA34c!J65+SA34c!J69+SA34c!J73</f>
        <v>2583960</v>
      </c>
      <c r="K79" s="1060">
        <f>SA34c!K51+SA34c!K65+SA34c!K69+SA34c!K73</f>
        <v>2728661.76</v>
      </c>
    </row>
    <row r="80" spans="1:11" ht="11.25" customHeight="1" x14ac:dyDescent="0.25">
      <c r="A80" s="224" t="s">
        <v>1419</v>
      </c>
      <c r="B80" s="225"/>
      <c r="C80" s="213">
        <f t="shared" ref="C80:K80" si="22">SUM(C68:C69)</f>
        <v>64066096</v>
      </c>
      <c r="D80" s="213">
        <f t="shared" si="22"/>
        <v>175013708</v>
      </c>
      <c r="E80" s="214">
        <f t="shared" si="22"/>
        <v>150286423.86000001</v>
      </c>
      <c r="F80" s="215">
        <f t="shared" si="22"/>
        <v>191934397.236</v>
      </c>
      <c r="G80" s="213">
        <f t="shared" si="22"/>
        <v>56778294.406000003</v>
      </c>
      <c r="H80" s="212">
        <f t="shared" si="22"/>
        <v>56778294.406000003</v>
      </c>
      <c r="I80" s="216">
        <f t="shared" si="22"/>
        <v>170090100</v>
      </c>
      <c r="J80" s="213">
        <f t="shared" si="22"/>
        <v>180125415.90000001</v>
      </c>
      <c r="K80" s="214">
        <f t="shared" si="22"/>
        <v>190212439.1904</v>
      </c>
    </row>
    <row r="81" spans="1:11" ht="6.75" customHeight="1" x14ac:dyDescent="0.25">
      <c r="A81" s="1540"/>
      <c r="B81" s="744"/>
      <c r="C81" s="1293"/>
      <c r="D81" s="1293"/>
      <c r="E81" s="1294"/>
      <c r="F81" s="1295"/>
      <c r="G81" s="1293"/>
      <c r="H81" s="1296"/>
      <c r="I81" s="1297"/>
      <c r="J81" s="1293"/>
      <c r="K81" s="1294"/>
    </row>
    <row r="82" spans="1:11" ht="11.25" customHeight="1" x14ac:dyDescent="0.25">
      <c r="A82" s="373" t="s">
        <v>1946</v>
      </c>
      <c r="B82" s="374"/>
      <c r="C82" s="375">
        <f>IF(ISERROR(C20/C49),0,(C20/C49))</f>
        <v>0</v>
      </c>
      <c r="D82" s="375">
        <f t="shared" ref="D82:K82" si="23">IF(ISERROR(D20/D49),0,(D20/D49))</f>
        <v>0</v>
      </c>
      <c r="E82" s="376">
        <f t="shared" si="23"/>
        <v>0</v>
      </c>
      <c r="F82" s="377">
        <f t="shared" si="23"/>
        <v>0</v>
      </c>
      <c r="G82" s="375">
        <f t="shared" si="23"/>
        <v>0</v>
      </c>
      <c r="H82" s="378">
        <f t="shared" si="23"/>
        <v>0</v>
      </c>
      <c r="I82" s="379">
        <f t="shared" si="23"/>
        <v>0</v>
      </c>
      <c r="J82" s="375">
        <f t="shared" si="23"/>
        <v>0</v>
      </c>
      <c r="K82" s="376">
        <f t="shared" si="23"/>
        <v>0</v>
      </c>
    </row>
    <row r="83" spans="1:11" ht="11.25" customHeight="1" x14ac:dyDescent="0.25">
      <c r="A83" s="373" t="s">
        <v>1420</v>
      </c>
      <c r="B83" s="374"/>
      <c r="C83" s="375">
        <f>IF(ISERROR(C20/C68),0,(C20/C68))</f>
        <v>0</v>
      </c>
      <c r="D83" s="375">
        <f t="shared" ref="D83:K83" si="24">IF(ISERROR(D20/D68),0,(D20/D68))</f>
        <v>0</v>
      </c>
      <c r="E83" s="376">
        <f t="shared" si="24"/>
        <v>0</v>
      </c>
      <c r="F83" s="377">
        <f t="shared" si="24"/>
        <v>0</v>
      </c>
      <c r="G83" s="375">
        <f t="shared" si="24"/>
        <v>0</v>
      </c>
      <c r="H83" s="378">
        <f t="shared" si="24"/>
        <v>0</v>
      </c>
      <c r="I83" s="379">
        <f t="shared" si="24"/>
        <v>0</v>
      </c>
      <c r="J83" s="375">
        <f t="shared" si="24"/>
        <v>0</v>
      </c>
      <c r="K83" s="376">
        <f t="shared" si="24"/>
        <v>0</v>
      </c>
    </row>
    <row r="84" spans="1:11" ht="11.25" customHeight="1" x14ac:dyDescent="0.25">
      <c r="A84" s="373" t="s">
        <v>921</v>
      </c>
      <c r="B84" s="374"/>
      <c r="C84" s="375">
        <f>IF(ISERROR(ROUND(C69/'A6-FinPos'!C19,3)),0,(ROUND(C69/'A6-FinPos'!C19,3)))</f>
        <v>0</v>
      </c>
      <c r="D84" s="375">
        <f>IF(ISERROR(ROUND(D69/'A6-FinPos'!D19,3)),0,(ROUND(D69/'A6-FinPos'!D19,3)))</f>
        <v>1.6E-2</v>
      </c>
      <c r="E84" s="376">
        <f>IF(ISERROR(ROUND(E69/'A6-FinPos'!E19,3)),0,(ROUND(E69/'A6-FinPos'!E19,3)))</f>
        <v>1.2E-2</v>
      </c>
      <c r="F84" s="377">
        <f>IF(ISERROR(ROUND(F69/'A6-FinPos'!F19,3)),0,(ROUND(F69/'A6-FinPos'!F19,3)))</f>
        <v>8.9999999999999993E-3</v>
      </c>
      <c r="G84" s="375">
        <f>IF(ISERROR(ROUND(G69/'A6-FinPos'!G19,3)),0,(ROUND(G69/'A6-FinPos'!G19,3)))</f>
        <v>7.0000000000000001E-3</v>
      </c>
      <c r="H84" s="378">
        <f>IF(ISERROR(ROUND(H69/'A6-FinPos'!H19,3)),0,(ROUND(H69/'A6-FinPos'!H19,3)))</f>
        <v>7.0000000000000001E-3</v>
      </c>
      <c r="I84" s="379">
        <f>IF(ISERROR(ROUND(I69/'A6-FinPos'!J19,3)),0,(ROUND(I69/'A6-FinPos'!J19,3)))</f>
        <v>1.0999999999999999E-2</v>
      </c>
      <c r="J84" s="375">
        <f>IF(ISERROR(ROUND(J69/'A6-FinPos'!K19,3)),0,(ROUND(J69/'A6-FinPos'!K19,3)))</f>
        <v>1.0999999999999999E-2</v>
      </c>
      <c r="K84" s="376">
        <f>IF(ISERROR(ROUND(K69/'A6-FinPos'!L19,3)),0,(ROUND(K69/'A6-FinPos'!L19,3)))</f>
        <v>1.0999999999999999E-2</v>
      </c>
    </row>
    <row r="85" spans="1:11" ht="11.25" customHeight="1" x14ac:dyDescent="0.25">
      <c r="A85" s="373" t="s">
        <v>536</v>
      </c>
      <c r="B85" s="374"/>
      <c r="C85" s="375">
        <f>IF(ISERROR(ROUND((C20+C69)/C65,2)),0,(ROUND((C20+C69)/C65,2)))</f>
        <v>0</v>
      </c>
      <c r="D85" s="375">
        <f t="shared" ref="D85:K85" si="25">IF(ISERROR(ROUND((D20+D69)/D65,2)),0,(ROUND((D20+D69)/D65,2)))</f>
        <v>1.55</v>
      </c>
      <c r="E85" s="376">
        <f t="shared" si="25"/>
        <v>0</v>
      </c>
      <c r="F85" s="377">
        <f t="shared" si="25"/>
        <v>0.16</v>
      </c>
      <c r="G85" s="375">
        <f t="shared" si="25"/>
        <v>0.01</v>
      </c>
      <c r="H85" s="378">
        <f t="shared" si="25"/>
        <v>0.01</v>
      </c>
      <c r="I85" s="379">
        <f t="shared" si="25"/>
        <v>0.01</v>
      </c>
      <c r="J85" s="375">
        <f t="shared" si="25"/>
        <v>0.01</v>
      </c>
      <c r="K85" s="376">
        <f t="shared" si="25"/>
        <v>0.01</v>
      </c>
    </row>
    <row r="86" spans="1:11" ht="5.0999999999999996" customHeight="1" x14ac:dyDescent="0.25">
      <c r="A86" s="380"/>
      <c r="B86" s="381"/>
      <c r="C86" s="382"/>
      <c r="D86" s="382"/>
      <c r="E86" s="383"/>
      <c r="F86" s="384"/>
      <c r="G86" s="382"/>
      <c r="H86" s="385"/>
      <c r="I86" s="386"/>
      <c r="J86" s="382"/>
      <c r="K86" s="383"/>
    </row>
    <row r="87" spans="1:11" s="708" customFormat="1" x14ac:dyDescent="0.25">
      <c r="A87" s="1228" t="str">
        <f>head27a</f>
        <v>References</v>
      </c>
      <c r="B87" s="1229"/>
      <c r="C87" s="1233"/>
      <c r="D87" s="1233"/>
      <c r="E87" s="1233"/>
      <c r="F87" s="1233"/>
      <c r="G87" s="1233"/>
      <c r="H87" s="1233"/>
      <c r="I87" s="1233"/>
      <c r="J87" s="1233"/>
      <c r="K87" s="1233"/>
    </row>
    <row r="88" spans="1:11" s="708" customFormat="1" x14ac:dyDescent="0.25">
      <c r="A88" s="1193" t="s">
        <v>451</v>
      </c>
      <c r="B88" s="1229"/>
      <c r="C88" s="1233"/>
      <c r="D88" s="1233"/>
      <c r="E88" s="1233"/>
      <c r="F88" s="1233"/>
      <c r="G88" s="1233"/>
      <c r="H88" s="1233"/>
      <c r="I88" s="1233"/>
      <c r="J88" s="1233"/>
      <c r="K88" s="1233"/>
    </row>
    <row r="89" spans="1:11" s="708" customFormat="1" x14ac:dyDescent="0.25">
      <c r="A89" s="1193" t="s">
        <v>452</v>
      </c>
      <c r="B89" s="1229"/>
      <c r="C89" s="1233"/>
      <c r="D89" s="1233"/>
      <c r="E89" s="1233"/>
      <c r="F89" s="1233"/>
      <c r="G89" s="1233"/>
      <c r="H89" s="1233"/>
      <c r="I89" s="1233"/>
      <c r="J89" s="1233"/>
      <c r="K89" s="1233"/>
    </row>
    <row r="90" spans="1:11" s="708" customFormat="1" x14ac:dyDescent="0.25">
      <c r="A90" s="1193" t="s">
        <v>453</v>
      </c>
      <c r="B90" s="1229"/>
      <c r="C90" s="1233"/>
      <c r="D90" s="1233"/>
      <c r="E90" s="1233"/>
      <c r="F90" s="1233"/>
      <c r="G90" s="1233"/>
      <c r="H90" s="1233"/>
      <c r="I90" s="1233"/>
      <c r="J90" s="1233"/>
      <c r="K90" s="1233"/>
    </row>
    <row r="91" spans="1:11" s="708" customFormat="1" x14ac:dyDescent="0.25">
      <c r="A91" s="1190" t="s">
        <v>454</v>
      </c>
      <c r="B91" s="1229"/>
      <c r="C91" s="1233"/>
      <c r="D91" s="1233"/>
      <c r="E91" s="1233"/>
      <c r="F91" s="1233"/>
      <c r="G91" s="1233"/>
      <c r="H91" s="1233"/>
      <c r="I91" s="1233"/>
      <c r="J91" s="1233"/>
      <c r="K91" s="1233"/>
    </row>
    <row r="92" spans="1:11" s="708" customFormat="1" x14ac:dyDescent="0.25">
      <c r="A92" s="1193" t="s">
        <v>455</v>
      </c>
      <c r="B92" s="1229"/>
      <c r="C92" s="1233"/>
      <c r="D92" s="1233"/>
      <c r="E92" s="1233"/>
      <c r="F92" s="1233"/>
      <c r="G92" s="1233"/>
      <c r="H92" s="1233"/>
      <c r="I92" s="1233"/>
      <c r="J92" s="1233"/>
      <c r="K92" s="1233"/>
    </row>
    <row r="93" spans="1:11" s="708" customFormat="1" x14ac:dyDescent="0.25">
      <c r="A93" s="1190" t="s">
        <v>456</v>
      </c>
      <c r="B93" s="1260"/>
      <c r="C93" s="1260"/>
      <c r="D93" s="1260"/>
      <c r="E93" s="1260"/>
      <c r="F93" s="1260"/>
      <c r="G93" s="1260"/>
      <c r="H93" s="1260"/>
      <c r="I93" s="1260"/>
      <c r="J93" s="1260"/>
      <c r="K93" s="1260"/>
    </row>
    <row r="94" spans="1:11" ht="11.25" customHeight="1" x14ac:dyDescent="0.25">
      <c r="A94" s="1260" t="s">
        <v>498</v>
      </c>
      <c r="B94" s="1229"/>
      <c r="C94" s="1260"/>
      <c r="D94" s="1260"/>
      <c r="E94" s="1260"/>
      <c r="F94" s="1260"/>
      <c r="G94" s="1260"/>
      <c r="H94" s="706"/>
      <c r="I94" s="706"/>
      <c r="J94" s="706"/>
      <c r="K94" s="706"/>
    </row>
    <row r="95" spans="1:11" ht="11.25" customHeight="1" x14ac:dyDescent="0.25">
      <c r="A95" s="1265" t="s">
        <v>2062</v>
      </c>
      <c r="B95" s="1260"/>
      <c r="C95" s="1263">
        <f>C65-'A6-FinPos'!C17-'A6-FinPos'!C19-'A6-FinPos'!C21-'A6-FinPos'!C22</f>
        <v>-2540029000</v>
      </c>
      <c r="D95" s="1263">
        <f>D65-'A6-FinPos'!D17-'A6-FinPos'!D19-'A6-FinPos'!D21-'A6-FinPos'!D22</f>
        <v>-1626961920</v>
      </c>
      <c r="E95" s="1263">
        <f>E65-'A6-FinPos'!E17-'A6-FinPos'!E19-'A6-FinPos'!E21-'A6-FinPos'!E22</f>
        <v>-1603584350</v>
      </c>
      <c r="F95" s="1263">
        <f>F65-'A6-FinPos'!F17-'A6-FinPos'!F19-'A6-FinPos'!F21-'A6-FinPos'!F22</f>
        <v>-1908178802.3699999</v>
      </c>
      <c r="G95" s="1263">
        <f>G65-'A6-FinPos'!G17-'A6-FinPos'!G19-'A6-FinPos'!G21-'A6-FinPos'!G22</f>
        <v>-2.384185791015625E-7</v>
      </c>
      <c r="H95" s="1263">
        <f>H65-'A6-FinPos'!H17-'A6-FinPos'!H19-'A6-FinPos'!H21-'A6-FinPos'!H22</f>
        <v>-2.384185791015625E-7</v>
      </c>
      <c r="I95" s="1263">
        <f>I65-'A6-FinPos'!J17-'A6-FinPos'!J19-'A6-FinPos'!J21-'A6-FinPos'!J22</f>
        <v>0</v>
      </c>
      <c r="J95" s="1263">
        <f>J65-'A6-FinPos'!K17-'A6-FinPos'!K19-'A6-FinPos'!K21-'A6-FinPos'!K22</f>
        <v>-4.0531158447265625E-6</v>
      </c>
      <c r="K95" s="1263">
        <f>K65-'A6-FinPos'!L17-'A6-FinPos'!L19-'A6-FinPos'!L21-'A6-FinPos'!L22</f>
        <v>-1.6689300537109375E-6</v>
      </c>
    </row>
    <row r="96" spans="1:11" ht="11.25" customHeight="1" x14ac:dyDescent="0.25">
      <c r="A96" s="246"/>
      <c r="B96" s="246"/>
      <c r="C96" s="246"/>
      <c r="D96" s="246"/>
      <c r="E96" s="246"/>
      <c r="F96" s="246"/>
      <c r="G96" s="246"/>
    </row>
    <row r="97" spans="1:7" ht="11.25" customHeight="1" x14ac:dyDescent="0.25">
      <c r="A97" s="246"/>
      <c r="B97" s="246"/>
      <c r="C97" s="246"/>
      <c r="D97" s="246"/>
      <c r="E97" s="246"/>
      <c r="F97" s="246"/>
      <c r="G97" s="246"/>
    </row>
    <row r="98" spans="1:7" ht="11.25" customHeight="1" x14ac:dyDescent="0.25">
      <c r="A98" s="246"/>
      <c r="B98" s="246"/>
      <c r="C98" s="246"/>
      <c r="D98" s="246"/>
      <c r="E98" s="246"/>
      <c r="F98" s="246"/>
      <c r="G98" s="246"/>
    </row>
    <row r="99" spans="1:7" ht="11.25" customHeight="1" x14ac:dyDescent="0.25">
      <c r="A99" s="246"/>
      <c r="B99" s="236"/>
      <c r="C99" s="246"/>
      <c r="D99" s="246"/>
      <c r="E99" s="246"/>
      <c r="F99" s="246"/>
      <c r="G99" s="246"/>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sheetProtection sheet="1" objects="1" scenarios="1"/>
  <dataConsolidate/>
  <customSheetViews>
    <customSheetView guid="{F50C5479-5CC4-4FD7-8319-543D29E829F0}" showGridLines="0" fitToPage="1">
      <pane xSplit="2" ySplit="3" topLeftCell="C83" activePane="bottomRight" state="frozen"/>
      <selection pane="bottomRight" activeCell="F35" sqref="F35"/>
      <pageMargins left="0.37" right="0.2" top="0.6" bottom="0.5" header="0.511811023622047" footer="0.39370078740157499"/>
      <printOptions horizontalCentered="1"/>
      <pageSetup paperSize="9" scale="74" orientation="portrait" r:id="rId1"/>
      <headerFooter alignWithMargins="0"/>
    </customSheetView>
  </customSheetViews>
  <mergeCells count="2">
    <mergeCell ref="F2:H2"/>
    <mergeCell ref="I2:K2"/>
  </mergeCells>
  <phoneticPr fontId="2" type="noConversion"/>
  <printOptions horizontalCentered="1"/>
  <pageMargins left="0.35433070866141736" right="0.19685039370078741" top="0.59055118110236227" bottom="0.51181102362204722" header="0.51181102362204722" footer="0.39370078740157483"/>
  <pageSetup paperSize="9" scale="80" orientation="portrait"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44"/>
    <pageSetUpPr fitToPage="1"/>
  </sheetPr>
  <dimension ref="A1:M133"/>
  <sheetViews>
    <sheetView showGridLines="0" zoomScale="150" zoomScaleNormal="150" workbookViewId="0">
      <pane xSplit="2" ySplit="3" topLeftCell="D77" activePane="bottomRight" state="frozen"/>
      <selection activeCell="F35" sqref="F35"/>
      <selection pane="topRight" activeCell="F35" sqref="F35"/>
      <selection pane="bottomLeft" activeCell="F35" sqref="F35"/>
      <selection pane="bottomRight" activeCell="I38" sqref="I38"/>
    </sheetView>
  </sheetViews>
  <sheetFormatPr defaultRowHeight="12.75" x14ac:dyDescent="0.25"/>
  <cols>
    <col min="1" max="1" width="30.7109375" style="706" customWidth="1"/>
    <col min="2" max="2" width="3" style="703" customWidth="1"/>
    <col min="3" max="8" width="9.28515625" style="706" customWidth="1"/>
    <col min="9" max="9" width="9.85546875" style="706" customWidth="1"/>
    <col min="10" max="11" width="9.28515625" style="706" customWidth="1"/>
    <col min="12" max="12" width="9.85546875" style="706" customWidth="1"/>
    <col min="13" max="13" width="9.5703125" style="706" customWidth="1"/>
    <col min="14" max="14" width="9.85546875" style="706" customWidth="1"/>
    <col min="15" max="17" width="9.5703125" style="706" customWidth="1"/>
    <col min="18" max="18" width="9.85546875" style="706" customWidth="1"/>
    <col min="19" max="21" width="9.5703125" style="706" customWidth="1"/>
    <col min="22" max="23" width="9.85546875" style="706" customWidth="1"/>
    <col min="24" max="16384" width="9.140625" style="706"/>
  </cols>
  <sheetData>
    <row r="1" spans="1:13" s="1118" customFormat="1" x14ac:dyDescent="0.2">
      <c r="A1" s="1117" t="str">
        <f>muni&amp;" - "&amp;Approve10</f>
        <v>MP315 Thembisile Hani - Table A10 Basic service delivery measurement</v>
      </c>
      <c r="B1" s="1117"/>
      <c r="C1" s="1117"/>
      <c r="D1" s="1117"/>
      <c r="E1" s="1117"/>
      <c r="F1" s="1117"/>
      <c r="G1" s="1117"/>
      <c r="H1" s="1117"/>
      <c r="I1" s="1117"/>
      <c r="J1" s="1117"/>
      <c r="K1" s="1117"/>
    </row>
    <row r="2" spans="1:13" ht="28.5" customHeight="1" x14ac:dyDescent="0.25">
      <c r="A2" s="2787" t="str">
        <f>desc</f>
        <v>Description</v>
      </c>
      <c r="B2" s="2789" t="str">
        <f>head27</f>
        <v>Ref</v>
      </c>
      <c r="C2" s="1119" t="str">
        <f>head1b</f>
        <v>2011/12</v>
      </c>
      <c r="D2" s="1119" t="str">
        <f>head1A</f>
        <v>2012/13</v>
      </c>
      <c r="E2" s="1120" t="str">
        <f>Head1</f>
        <v>2013/14</v>
      </c>
      <c r="F2" s="2772" t="str">
        <f>Head2</f>
        <v>Current Year 2014/15</v>
      </c>
      <c r="G2" s="2773"/>
      <c r="H2" s="2786"/>
      <c r="I2" s="2774" t="str">
        <f>Head3</f>
        <v>2015/16 Medium Term Revenue &amp; Expenditure Framework</v>
      </c>
      <c r="J2" s="2775"/>
      <c r="K2" s="2776"/>
    </row>
    <row r="3" spans="1:13" ht="25.5" x14ac:dyDescent="0.25">
      <c r="A3" s="2788"/>
      <c r="B3" s="2790"/>
      <c r="C3" s="1121" t="str">
        <f>Head5A</f>
        <v>Outcome</v>
      </c>
      <c r="D3" s="1121" t="str">
        <f>Head5A</f>
        <v>Outcome</v>
      </c>
      <c r="E3" s="1122" t="str">
        <f>Head5A</f>
        <v>Outcome</v>
      </c>
      <c r="F3" s="1123" t="str">
        <f>Head6</f>
        <v>Original Budget</v>
      </c>
      <c r="G3" s="1121" t="str">
        <f>Head7</f>
        <v>Adjusted Budget</v>
      </c>
      <c r="H3" s="1122" t="str">
        <f>Head8</f>
        <v>Full Year Forecast</v>
      </c>
      <c r="I3" s="1123" t="str">
        <f>Head9</f>
        <v>Budget Year 2015/16</v>
      </c>
      <c r="J3" s="1121" t="str">
        <f>Head10</f>
        <v>Budget Year +1 2016/17</v>
      </c>
      <c r="K3" s="1122" t="str">
        <f>Head11</f>
        <v>Budget Year +2 2017/18</v>
      </c>
    </row>
    <row r="4" spans="1:13" s="2510" customFormat="1" ht="11.25" customHeight="1" x14ac:dyDescent="0.25">
      <c r="A4" s="1124" t="s">
        <v>2210</v>
      </c>
      <c r="B4" s="1125">
        <v>1</v>
      </c>
      <c r="C4" s="2511"/>
      <c r="D4" s="2511"/>
      <c r="E4" s="2512"/>
      <c r="F4" s="2513"/>
      <c r="G4" s="2511"/>
      <c r="H4" s="2514"/>
      <c r="I4" s="2515"/>
      <c r="J4" s="2511"/>
      <c r="K4" s="2512"/>
    </row>
    <row r="5" spans="1:13" s="2510" customFormat="1" x14ac:dyDescent="0.25">
      <c r="A5" s="1131" t="s">
        <v>1848</v>
      </c>
      <c r="B5" s="1125"/>
      <c r="C5" s="2481"/>
      <c r="D5" s="2481"/>
      <c r="E5" s="2482"/>
      <c r="F5" s="2483"/>
      <c r="G5" s="2481"/>
      <c r="H5" s="2484"/>
      <c r="I5" s="2485"/>
      <c r="J5" s="2481"/>
      <c r="K5" s="2482"/>
    </row>
    <row r="6" spans="1:13" ht="11.25" customHeight="1" x14ac:dyDescent="0.25">
      <c r="A6" s="1132" t="s">
        <v>1636</v>
      </c>
      <c r="B6" s="1125"/>
      <c r="C6" s="1656">
        <v>0</v>
      </c>
      <c r="D6" s="1656">
        <v>0</v>
      </c>
      <c r="E6" s="1657"/>
      <c r="F6" s="2486">
        <v>0</v>
      </c>
      <c r="G6" s="1656">
        <v>0</v>
      </c>
      <c r="H6" s="1659"/>
      <c r="I6" s="1660"/>
      <c r="J6" s="1656"/>
      <c r="K6" s="1657"/>
      <c r="L6" s="1459"/>
      <c r="M6" s="1459"/>
    </row>
    <row r="7" spans="1:13" ht="11.25" customHeight="1" x14ac:dyDescent="0.25">
      <c r="A7" s="1132" t="s">
        <v>1847</v>
      </c>
      <c r="B7" s="1125"/>
      <c r="C7" s="1656">
        <v>46</v>
      </c>
      <c r="D7" s="1656">
        <v>2137</v>
      </c>
      <c r="E7" s="1657"/>
      <c r="F7" s="2486">
        <v>590</v>
      </c>
      <c r="G7" s="1656">
        <v>590</v>
      </c>
      <c r="H7" s="1659">
        <v>590</v>
      </c>
      <c r="I7" s="1660">
        <v>495</v>
      </c>
      <c r="J7" s="1656">
        <f>I7*1.059</f>
        <v>524.20499999999993</v>
      </c>
      <c r="K7" s="1657">
        <f>J7*1.056</f>
        <v>553.56047999999998</v>
      </c>
      <c r="L7" s="1459"/>
      <c r="M7" s="1459"/>
    </row>
    <row r="8" spans="1:13" ht="11.25" customHeight="1" x14ac:dyDescent="0.25">
      <c r="A8" s="1132" t="s">
        <v>131</v>
      </c>
      <c r="B8" s="1125">
        <v>2</v>
      </c>
      <c r="C8" s="1656">
        <v>2134</v>
      </c>
      <c r="D8" s="1656">
        <v>1453</v>
      </c>
      <c r="E8" s="1657"/>
      <c r="F8" s="2486">
        <v>45585</v>
      </c>
      <c r="G8" s="1656">
        <v>45585</v>
      </c>
      <c r="H8" s="1659">
        <v>45585</v>
      </c>
      <c r="I8" s="1660">
        <v>51667</v>
      </c>
      <c r="J8" s="1656">
        <f>I8*1.059</f>
        <v>54715.352999999996</v>
      </c>
      <c r="K8" s="1657">
        <f>J8*1.056</f>
        <v>57779.412767999995</v>
      </c>
      <c r="L8" s="1459"/>
      <c r="M8" s="1459"/>
    </row>
    <row r="9" spans="1:13" ht="11.25" customHeight="1" x14ac:dyDescent="0.25">
      <c r="A9" s="1132" t="s">
        <v>132</v>
      </c>
      <c r="B9" s="1125">
        <v>4</v>
      </c>
      <c r="C9" s="1656"/>
      <c r="D9" s="1656"/>
      <c r="E9" s="1657"/>
      <c r="F9" s="2486">
        <v>29458</v>
      </c>
      <c r="G9" s="1656">
        <v>29458</v>
      </c>
      <c r="H9" s="1659">
        <v>29458</v>
      </c>
      <c r="I9" s="1660">
        <v>34449</v>
      </c>
      <c r="J9" s="1656">
        <f>I9*1.059</f>
        <v>36481.490999999995</v>
      </c>
      <c r="K9" s="1657">
        <f>J9*1.056</f>
        <v>38524.454495999998</v>
      </c>
      <c r="L9" s="1459"/>
      <c r="M9" s="1459"/>
    </row>
    <row r="10" spans="1:13" ht="11.25" customHeight="1" x14ac:dyDescent="0.25">
      <c r="A10" s="1534" t="s">
        <v>375</v>
      </c>
      <c r="B10" s="1125"/>
      <c r="C10" s="2487">
        <f>SUM(C6:C9)</f>
        <v>2180</v>
      </c>
      <c r="D10" s="2487">
        <f t="shared" ref="D10:K10" si="0">SUM(D6:D9)</f>
        <v>3590</v>
      </c>
      <c r="E10" s="2488">
        <f t="shared" si="0"/>
        <v>0</v>
      </c>
      <c r="F10" s="2489">
        <f t="shared" si="0"/>
        <v>75633</v>
      </c>
      <c r="G10" s="2487">
        <f t="shared" si="0"/>
        <v>75633</v>
      </c>
      <c r="H10" s="2490">
        <f t="shared" si="0"/>
        <v>75633</v>
      </c>
      <c r="I10" s="2491">
        <f t="shared" si="0"/>
        <v>86611</v>
      </c>
      <c r="J10" s="2487">
        <f t="shared" si="0"/>
        <v>91721.048999999999</v>
      </c>
      <c r="K10" s="2488">
        <f t="shared" si="0"/>
        <v>96857.427743999986</v>
      </c>
      <c r="L10" s="1459"/>
      <c r="M10" s="1459"/>
    </row>
    <row r="11" spans="1:13" ht="11.25" customHeight="1" x14ac:dyDescent="0.25">
      <c r="A11" s="1132" t="s">
        <v>504</v>
      </c>
      <c r="B11" s="1125">
        <v>3</v>
      </c>
      <c r="C11" s="1656"/>
      <c r="D11" s="1656"/>
      <c r="E11" s="1657"/>
      <c r="F11" s="2486"/>
      <c r="G11" s="1656"/>
      <c r="H11" s="1659"/>
      <c r="I11" s="1660"/>
      <c r="J11" s="1656"/>
      <c r="K11" s="1657"/>
      <c r="L11" s="1459"/>
      <c r="M11" s="1459"/>
    </row>
    <row r="12" spans="1:13" ht="11.25" customHeight="1" x14ac:dyDescent="0.25">
      <c r="A12" s="1132" t="s">
        <v>505</v>
      </c>
      <c r="B12" s="1125">
        <f>B9</f>
        <v>4</v>
      </c>
      <c r="C12" s="1656"/>
      <c r="D12" s="1656"/>
      <c r="E12" s="1657"/>
      <c r="F12" s="2486"/>
      <c r="G12" s="1656"/>
      <c r="H12" s="1659"/>
      <c r="I12" s="1660">
        <v>8574</v>
      </c>
      <c r="J12" s="1656">
        <f>I12*1.059</f>
        <v>9079.866</v>
      </c>
      <c r="K12" s="1657">
        <f>J12*1.056</f>
        <v>9588.3384960000003</v>
      </c>
      <c r="L12" s="1459"/>
      <c r="M12" s="1459"/>
    </row>
    <row r="13" spans="1:13" ht="11.25" customHeight="1" x14ac:dyDescent="0.25">
      <c r="A13" s="1132" t="s">
        <v>966</v>
      </c>
      <c r="B13" s="1125"/>
      <c r="C13" s="1656"/>
      <c r="D13" s="1656"/>
      <c r="E13" s="1657"/>
      <c r="F13" s="2486"/>
      <c r="G13" s="1656"/>
      <c r="H13" s="1659"/>
      <c r="I13" s="1660">
        <v>953</v>
      </c>
      <c r="J13" s="1656">
        <f>I13*1.059</f>
        <v>1009.227</v>
      </c>
      <c r="K13" s="1657">
        <f>J13*1.056</f>
        <v>1065.743712</v>
      </c>
      <c r="L13" s="1459"/>
      <c r="M13" s="1459"/>
    </row>
    <row r="14" spans="1:13" ht="11.25" customHeight="1" x14ac:dyDescent="0.25">
      <c r="A14" s="1534" t="s">
        <v>1281</v>
      </c>
      <c r="B14" s="1125"/>
      <c r="C14" s="2492">
        <f>SUM(C11:C13)</f>
        <v>0</v>
      </c>
      <c r="D14" s="2492">
        <f t="shared" ref="D14:K14" si="1">SUM(D11:D13)</f>
        <v>0</v>
      </c>
      <c r="E14" s="2493">
        <f t="shared" si="1"/>
        <v>0</v>
      </c>
      <c r="F14" s="2494">
        <f t="shared" si="1"/>
        <v>0</v>
      </c>
      <c r="G14" s="2492">
        <f t="shared" si="1"/>
        <v>0</v>
      </c>
      <c r="H14" s="2495">
        <f t="shared" si="1"/>
        <v>0</v>
      </c>
      <c r="I14" s="2496">
        <f t="shared" si="1"/>
        <v>9527</v>
      </c>
      <c r="J14" s="2492">
        <f t="shared" si="1"/>
        <v>10089.093000000001</v>
      </c>
      <c r="K14" s="2493">
        <f t="shared" si="1"/>
        <v>10654.082208</v>
      </c>
      <c r="L14" s="1459"/>
      <c r="M14" s="1459"/>
    </row>
    <row r="15" spans="1:13" ht="11.25" customHeight="1" x14ac:dyDescent="0.25">
      <c r="A15" s="1133" t="s">
        <v>1319</v>
      </c>
      <c r="B15" s="1125">
        <v>5</v>
      </c>
      <c r="C15" s="2497">
        <f>C10+C14</f>
        <v>2180</v>
      </c>
      <c r="D15" s="2497">
        <f t="shared" ref="D15:K15" si="2">D10+D14</f>
        <v>3590</v>
      </c>
      <c r="E15" s="2498">
        <f t="shared" si="2"/>
        <v>0</v>
      </c>
      <c r="F15" s="2499">
        <f t="shared" si="2"/>
        <v>75633</v>
      </c>
      <c r="G15" s="2497">
        <f t="shared" si="2"/>
        <v>75633</v>
      </c>
      <c r="H15" s="2500">
        <f t="shared" si="2"/>
        <v>75633</v>
      </c>
      <c r="I15" s="2501">
        <f t="shared" si="2"/>
        <v>96138</v>
      </c>
      <c r="J15" s="2497">
        <f t="shared" si="2"/>
        <v>101810.14199999999</v>
      </c>
      <c r="K15" s="2498">
        <f t="shared" si="2"/>
        <v>107511.50995199999</v>
      </c>
      <c r="L15" s="1459"/>
      <c r="M15" s="1459"/>
    </row>
    <row r="16" spans="1:13" s="2510" customFormat="1" ht="15.75" customHeight="1" x14ac:dyDescent="0.25">
      <c r="A16" s="1131" t="s">
        <v>1320</v>
      </c>
      <c r="B16" s="1125"/>
      <c r="C16" s="2481"/>
      <c r="D16" s="2481"/>
      <c r="E16" s="2482"/>
      <c r="F16" s="2483"/>
      <c r="G16" s="2481"/>
      <c r="H16" s="2484"/>
      <c r="I16" s="2485"/>
      <c r="J16" s="2481"/>
      <c r="K16" s="2482"/>
      <c r="L16" s="2509"/>
      <c r="M16" s="2509"/>
    </row>
    <row r="17" spans="1:13" ht="11.25" customHeight="1" x14ac:dyDescent="0.25">
      <c r="A17" s="1132" t="s">
        <v>1321</v>
      </c>
      <c r="B17" s="1125"/>
      <c r="C17" s="1656"/>
      <c r="D17" s="1656"/>
      <c r="E17" s="1657"/>
      <c r="F17" s="2486">
        <v>17201</v>
      </c>
      <c r="G17" s="1656">
        <v>17201</v>
      </c>
      <c r="H17" s="1659">
        <v>17201</v>
      </c>
      <c r="I17" s="1660">
        <v>17201</v>
      </c>
      <c r="J17" s="1656">
        <f>I17*1.059</f>
        <v>18215.859</v>
      </c>
      <c r="K17" s="1657">
        <f>J17*1.056</f>
        <v>19235.947104000003</v>
      </c>
      <c r="L17" s="1459"/>
      <c r="M17" s="1459"/>
    </row>
    <row r="18" spans="1:13" ht="11.25" customHeight="1" x14ac:dyDescent="0.25">
      <c r="A18" s="1132" t="s">
        <v>1322</v>
      </c>
      <c r="B18" s="1125"/>
      <c r="C18" s="1656"/>
      <c r="D18" s="1656"/>
      <c r="E18" s="1657"/>
      <c r="F18" s="2486">
        <v>0</v>
      </c>
      <c r="G18" s="1656">
        <v>0</v>
      </c>
      <c r="H18" s="1659"/>
      <c r="I18" s="1660"/>
      <c r="J18" s="1656"/>
      <c r="K18" s="1657"/>
      <c r="L18" s="1459"/>
      <c r="M18" s="1459"/>
    </row>
    <row r="19" spans="1:13" ht="11.25" customHeight="1" x14ac:dyDescent="0.25">
      <c r="A19" s="1132" t="s">
        <v>1393</v>
      </c>
      <c r="B19" s="1125"/>
      <c r="C19" s="1656"/>
      <c r="D19" s="1656"/>
      <c r="E19" s="1657"/>
      <c r="F19" s="2486">
        <v>0</v>
      </c>
      <c r="G19" s="1656">
        <v>0</v>
      </c>
      <c r="H19" s="1659"/>
      <c r="I19" s="1660"/>
      <c r="J19" s="1656"/>
      <c r="K19" s="1657"/>
      <c r="L19" s="1459"/>
      <c r="M19" s="1459"/>
    </row>
    <row r="20" spans="1:13" ht="11.25" customHeight="1" x14ac:dyDescent="0.25">
      <c r="A20" s="1132" t="s">
        <v>241</v>
      </c>
      <c r="B20" s="1125"/>
      <c r="C20" s="1656">
        <v>863</v>
      </c>
      <c r="D20" s="1656">
        <v>709</v>
      </c>
      <c r="E20" s="1657"/>
      <c r="F20" s="2486">
        <v>0</v>
      </c>
      <c r="G20" s="1656">
        <v>0</v>
      </c>
      <c r="H20" s="1659"/>
      <c r="I20" s="1660"/>
      <c r="J20" s="1656"/>
      <c r="K20" s="1657"/>
      <c r="L20" s="1459"/>
      <c r="M20" s="1459"/>
    </row>
    <row r="21" spans="1:13" ht="11.25" customHeight="1" x14ac:dyDescent="0.25">
      <c r="A21" s="1132" t="s">
        <v>243</v>
      </c>
      <c r="B21" s="1125"/>
      <c r="C21" s="1656"/>
      <c r="D21" s="1656"/>
      <c r="E21" s="1657"/>
      <c r="F21" s="2486"/>
      <c r="G21" s="1656"/>
      <c r="H21" s="1659"/>
      <c r="I21" s="1660"/>
      <c r="J21" s="1656"/>
      <c r="K21" s="1657"/>
      <c r="L21" s="1459"/>
      <c r="M21" s="1459"/>
    </row>
    <row r="22" spans="1:13" ht="11.25" customHeight="1" x14ac:dyDescent="0.25">
      <c r="A22" s="1534" t="str">
        <f>$A$10</f>
        <v>Minimum Service Level and Above sub-total</v>
      </c>
      <c r="B22" s="1125"/>
      <c r="C22" s="2487">
        <f>SUM(C17:C21)</f>
        <v>863</v>
      </c>
      <c r="D22" s="2487">
        <f t="shared" ref="D22:K22" si="3">SUM(D17:D21)</f>
        <v>709</v>
      </c>
      <c r="E22" s="2488">
        <f t="shared" si="3"/>
        <v>0</v>
      </c>
      <c r="F22" s="2489">
        <f t="shared" si="3"/>
        <v>17201</v>
      </c>
      <c r="G22" s="2487">
        <f t="shared" si="3"/>
        <v>17201</v>
      </c>
      <c r="H22" s="2490">
        <f t="shared" si="3"/>
        <v>17201</v>
      </c>
      <c r="I22" s="2491">
        <f t="shared" si="3"/>
        <v>17201</v>
      </c>
      <c r="J22" s="2487">
        <f t="shared" si="3"/>
        <v>18215.859</v>
      </c>
      <c r="K22" s="2488">
        <f t="shared" si="3"/>
        <v>19235.947104000003</v>
      </c>
      <c r="L22" s="1459"/>
      <c r="M22" s="1459"/>
    </row>
    <row r="23" spans="1:13" ht="11.25" customHeight="1" x14ac:dyDescent="0.25">
      <c r="A23" s="1132" t="s">
        <v>242</v>
      </c>
      <c r="B23" s="1125"/>
      <c r="C23" s="1656"/>
      <c r="D23" s="1656"/>
      <c r="E23" s="1657"/>
      <c r="F23" s="2486"/>
      <c r="G23" s="1656"/>
      <c r="H23" s="1659"/>
      <c r="I23" s="1660"/>
      <c r="J23" s="1656"/>
      <c r="K23" s="1657"/>
      <c r="L23" s="1459"/>
      <c r="M23" s="1459"/>
    </row>
    <row r="24" spans="1:13" ht="11.25" customHeight="1" x14ac:dyDescent="0.25">
      <c r="A24" s="1132" t="s">
        <v>1226</v>
      </c>
      <c r="B24" s="1125"/>
      <c r="C24" s="1656"/>
      <c r="D24" s="1656"/>
      <c r="E24" s="1657"/>
      <c r="F24" s="2486"/>
      <c r="G24" s="1656"/>
      <c r="H24" s="1659"/>
      <c r="I24" s="1660"/>
      <c r="J24" s="1656"/>
      <c r="K24" s="1657"/>
      <c r="L24" s="1459"/>
      <c r="M24" s="1459"/>
    </row>
    <row r="25" spans="1:13" ht="11.25" customHeight="1" x14ac:dyDescent="0.25">
      <c r="A25" s="1132" t="s">
        <v>1395</v>
      </c>
      <c r="B25" s="1125"/>
      <c r="C25" s="1656"/>
      <c r="D25" s="1656"/>
      <c r="E25" s="1657"/>
      <c r="F25" s="2486"/>
      <c r="G25" s="1656"/>
      <c r="H25" s="1659"/>
      <c r="I25" s="1660"/>
      <c r="J25" s="1656"/>
      <c r="K25" s="1657"/>
      <c r="L25" s="1459"/>
      <c r="M25" s="1459"/>
    </row>
    <row r="26" spans="1:13" ht="11.25" customHeight="1" x14ac:dyDescent="0.25">
      <c r="A26" s="1534" t="str">
        <f>$A$14</f>
        <v>Below Minimum Service Level sub-total</v>
      </c>
      <c r="B26" s="1125"/>
      <c r="C26" s="2492">
        <f>SUM(C23:C25)</f>
        <v>0</v>
      </c>
      <c r="D26" s="2492">
        <f t="shared" ref="D26:K26" si="4">SUM(D23:D25)</f>
        <v>0</v>
      </c>
      <c r="E26" s="2493">
        <f t="shared" si="4"/>
        <v>0</v>
      </c>
      <c r="F26" s="2494">
        <f t="shared" si="4"/>
        <v>0</v>
      </c>
      <c r="G26" s="2492">
        <f t="shared" si="4"/>
        <v>0</v>
      </c>
      <c r="H26" s="2495">
        <f t="shared" si="4"/>
        <v>0</v>
      </c>
      <c r="I26" s="2496">
        <f t="shared" si="4"/>
        <v>0</v>
      </c>
      <c r="J26" s="2492">
        <f t="shared" si="4"/>
        <v>0</v>
      </c>
      <c r="K26" s="2493">
        <f t="shared" si="4"/>
        <v>0</v>
      </c>
      <c r="L26" s="1459"/>
      <c r="M26" s="1459"/>
    </row>
    <row r="27" spans="1:13" ht="11.25" customHeight="1" x14ac:dyDescent="0.25">
      <c r="A27" s="1133" t="str">
        <f>$A$15</f>
        <v>Total number of households</v>
      </c>
      <c r="B27" s="1125">
        <f>$B$15</f>
        <v>5</v>
      </c>
      <c r="C27" s="2497">
        <f>C22+C26</f>
        <v>863</v>
      </c>
      <c r="D27" s="2497">
        <f t="shared" ref="D27:K27" si="5">D22+D26</f>
        <v>709</v>
      </c>
      <c r="E27" s="2498">
        <f t="shared" si="5"/>
        <v>0</v>
      </c>
      <c r="F27" s="2499">
        <f t="shared" si="5"/>
        <v>17201</v>
      </c>
      <c r="G27" s="2497">
        <f t="shared" si="5"/>
        <v>17201</v>
      </c>
      <c r="H27" s="2500">
        <f t="shared" si="5"/>
        <v>17201</v>
      </c>
      <c r="I27" s="2501">
        <f t="shared" si="5"/>
        <v>17201</v>
      </c>
      <c r="J27" s="2497">
        <f t="shared" si="5"/>
        <v>18215.859</v>
      </c>
      <c r="K27" s="2498">
        <f t="shared" si="5"/>
        <v>19235.947104000003</v>
      </c>
      <c r="L27" s="1459"/>
      <c r="M27" s="1459"/>
    </row>
    <row r="28" spans="1:13" s="2510" customFormat="1" ht="15.75" customHeight="1" x14ac:dyDescent="0.25">
      <c r="A28" s="1131" t="s">
        <v>684</v>
      </c>
      <c r="B28" s="1125"/>
      <c r="C28" s="2481"/>
      <c r="D28" s="2481"/>
      <c r="E28" s="2482"/>
      <c r="F28" s="2483"/>
      <c r="G28" s="2481"/>
      <c r="H28" s="2484"/>
      <c r="I28" s="2485"/>
      <c r="J28" s="2481"/>
      <c r="K28" s="2482"/>
      <c r="L28" s="2509"/>
      <c r="M28" s="2509"/>
    </row>
    <row r="29" spans="1:13" ht="11.25" customHeight="1" x14ac:dyDescent="0.25">
      <c r="A29" s="1132" t="s">
        <v>1227</v>
      </c>
      <c r="B29" s="1125"/>
      <c r="C29" s="1656"/>
      <c r="D29" s="1656"/>
      <c r="E29" s="1657"/>
      <c r="F29" s="2486"/>
      <c r="G29" s="1656"/>
      <c r="H29" s="1659"/>
      <c r="I29" s="1660"/>
      <c r="J29" s="1656"/>
      <c r="K29" s="1657"/>
      <c r="L29" s="1459"/>
      <c r="M29" s="1459"/>
    </row>
    <row r="30" spans="1:13" ht="11.25" customHeight="1" x14ac:dyDescent="0.25">
      <c r="A30" s="1132" t="s">
        <v>506</v>
      </c>
      <c r="B30" s="1125"/>
      <c r="C30" s="1656"/>
      <c r="D30" s="1656"/>
      <c r="E30" s="1657"/>
      <c r="F30" s="2486">
        <v>373</v>
      </c>
      <c r="G30" s="1656">
        <v>373</v>
      </c>
      <c r="H30" s="1659">
        <v>373</v>
      </c>
      <c r="I30" s="1660">
        <v>0</v>
      </c>
      <c r="J30" s="1660">
        <v>0</v>
      </c>
      <c r="K30" s="1660">
        <v>0</v>
      </c>
      <c r="L30" s="1459"/>
      <c r="M30" s="1459"/>
    </row>
    <row r="31" spans="1:13" ht="11.25" customHeight="1" x14ac:dyDescent="0.25">
      <c r="A31" s="1534" t="str">
        <f>$A$10</f>
        <v>Minimum Service Level and Above sub-total</v>
      </c>
      <c r="B31" s="1125"/>
      <c r="C31" s="2487">
        <f>SUM(C29:C30)</f>
        <v>0</v>
      </c>
      <c r="D31" s="2487">
        <f t="shared" ref="D31:K31" si="6">SUM(D29:D30)</f>
        <v>0</v>
      </c>
      <c r="E31" s="2488">
        <f t="shared" si="6"/>
        <v>0</v>
      </c>
      <c r="F31" s="2489">
        <f t="shared" si="6"/>
        <v>373</v>
      </c>
      <c r="G31" s="2487">
        <f t="shared" si="6"/>
        <v>373</v>
      </c>
      <c r="H31" s="2490">
        <f t="shared" si="6"/>
        <v>373</v>
      </c>
      <c r="I31" s="2491">
        <f t="shared" si="6"/>
        <v>0</v>
      </c>
      <c r="J31" s="2487">
        <f t="shared" si="6"/>
        <v>0</v>
      </c>
      <c r="K31" s="2488">
        <f t="shared" si="6"/>
        <v>0</v>
      </c>
      <c r="L31" s="1459"/>
      <c r="M31" s="1459"/>
    </row>
    <row r="32" spans="1:13" ht="11.25" customHeight="1" x14ac:dyDescent="0.25">
      <c r="A32" s="1132" t="s">
        <v>507</v>
      </c>
      <c r="B32" s="1125"/>
      <c r="C32" s="1656"/>
      <c r="D32" s="1656"/>
      <c r="E32" s="1657"/>
      <c r="F32" s="2486"/>
      <c r="G32" s="1656"/>
      <c r="H32" s="1659"/>
      <c r="I32" s="1660"/>
      <c r="J32" s="1656"/>
      <c r="K32" s="1657"/>
      <c r="L32" s="1459"/>
      <c r="M32" s="1459"/>
    </row>
    <row r="33" spans="1:13" ht="11.25" customHeight="1" x14ac:dyDescent="0.25">
      <c r="A33" s="1132" t="s">
        <v>508</v>
      </c>
      <c r="B33" s="1125"/>
      <c r="C33" s="1656"/>
      <c r="D33" s="1656"/>
      <c r="E33" s="1657"/>
      <c r="F33" s="2486"/>
      <c r="G33" s="1656"/>
      <c r="H33" s="1659"/>
      <c r="I33" s="1660"/>
      <c r="J33" s="1656"/>
      <c r="K33" s="1657"/>
      <c r="L33" s="1459"/>
      <c r="M33" s="1459"/>
    </row>
    <row r="34" spans="1:13" ht="11.25" customHeight="1" x14ac:dyDescent="0.25">
      <c r="A34" s="1132" t="s">
        <v>685</v>
      </c>
      <c r="B34" s="1125"/>
      <c r="C34" s="1656"/>
      <c r="D34" s="1656"/>
      <c r="E34" s="1657"/>
      <c r="F34" s="2486"/>
      <c r="G34" s="1656"/>
      <c r="H34" s="1659"/>
      <c r="I34" s="1660"/>
      <c r="J34" s="1656"/>
      <c r="K34" s="1657"/>
      <c r="L34" s="1459"/>
      <c r="M34" s="1459"/>
    </row>
    <row r="35" spans="1:13" ht="11.25" customHeight="1" x14ac:dyDescent="0.25">
      <c r="A35" s="1534" t="str">
        <f>$A$14</f>
        <v>Below Minimum Service Level sub-total</v>
      </c>
      <c r="B35" s="1125"/>
      <c r="C35" s="2492">
        <f>SUM(C32:C34)</f>
        <v>0</v>
      </c>
      <c r="D35" s="2492">
        <f t="shared" ref="D35:K35" si="7">SUM(D32:D34)</f>
        <v>0</v>
      </c>
      <c r="E35" s="2493">
        <f t="shared" si="7"/>
        <v>0</v>
      </c>
      <c r="F35" s="2494">
        <f t="shared" si="7"/>
        <v>0</v>
      </c>
      <c r="G35" s="2492">
        <f t="shared" si="7"/>
        <v>0</v>
      </c>
      <c r="H35" s="2495">
        <f t="shared" si="7"/>
        <v>0</v>
      </c>
      <c r="I35" s="2496">
        <f t="shared" si="7"/>
        <v>0</v>
      </c>
      <c r="J35" s="2492">
        <f t="shared" si="7"/>
        <v>0</v>
      </c>
      <c r="K35" s="2493">
        <f t="shared" si="7"/>
        <v>0</v>
      </c>
      <c r="L35" s="1459"/>
      <c r="M35" s="1459"/>
    </row>
    <row r="36" spans="1:13" ht="11.25" customHeight="1" x14ac:dyDescent="0.25">
      <c r="A36" s="1133" t="str">
        <f>$A$15</f>
        <v>Total number of households</v>
      </c>
      <c r="B36" s="1125">
        <f>$B$15</f>
        <v>5</v>
      </c>
      <c r="C36" s="2497">
        <f>C31+C35</f>
        <v>0</v>
      </c>
      <c r="D36" s="2497">
        <f t="shared" ref="D36:K36" si="8">D31+D35</f>
        <v>0</v>
      </c>
      <c r="E36" s="2498">
        <f t="shared" si="8"/>
        <v>0</v>
      </c>
      <c r="F36" s="2499">
        <f t="shared" si="8"/>
        <v>373</v>
      </c>
      <c r="G36" s="2497">
        <f t="shared" si="8"/>
        <v>373</v>
      </c>
      <c r="H36" s="2500">
        <f t="shared" si="8"/>
        <v>373</v>
      </c>
      <c r="I36" s="2501">
        <f t="shared" si="8"/>
        <v>0</v>
      </c>
      <c r="J36" s="2497">
        <f t="shared" si="8"/>
        <v>0</v>
      </c>
      <c r="K36" s="2498">
        <f t="shared" si="8"/>
        <v>0</v>
      </c>
      <c r="L36" s="1459"/>
      <c r="M36" s="1459"/>
    </row>
    <row r="37" spans="1:13" s="2510" customFormat="1" ht="15.75" customHeight="1" x14ac:dyDescent="0.25">
      <c r="A37" s="1131" t="s">
        <v>688</v>
      </c>
      <c r="B37" s="1125"/>
      <c r="C37" s="2481"/>
      <c r="D37" s="2481"/>
      <c r="E37" s="2482"/>
      <c r="F37" s="2483"/>
      <c r="G37" s="2481"/>
      <c r="H37" s="2484"/>
      <c r="I37" s="2485"/>
      <c r="J37" s="2481"/>
      <c r="K37" s="2482"/>
      <c r="L37" s="2509"/>
      <c r="M37" s="2509"/>
    </row>
    <row r="38" spans="1:13" ht="11.25" customHeight="1" x14ac:dyDescent="0.25">
      <c r="A38" s="1132" t="s">
        <v>740</v>
      </c>
      <c r="B38" s="1125"/>
      <c r="C38" s="1665">
        <v>20600</v>
      </c>
      <c r="D38" s="1665"/>
      <c r="E38" s="1666"/>
      <c r="F38" s="2507">
        <v>75000</v>
      </c>
      <c r="G38" s="1665">
        <v>75000</v>
      </c>
      <c r="H38" s="2508">
        <v>75000</v>
      </c>
      <c r="I38" s="1670">
        <v>0</v>
      </c>
      <c r="J38" s="1665">
        <v>0</v>
      </c>
      <c r="K38" s="1666">
        <v>0</v>
      </c>
      <c r="L38" s="1459"/>
      <c r="M38" s="1459"/>
    </row>
    <row r="39" spans="1:13" ht="11.25" customHeight="1" x14ac:dyDescent="0.25">
      <c r="A39" s="1534" t="str">
        <f>$A$10</f>
        <v>Minimum Service Level and Above sub-total</v>
      </c>
      <c r="B39" s="1125"/>
      <c r="C39" s="2502">
        <f>SUM(C38)</f>
        <v>20600</v>
      </c>
      <c r="D39" s="2502">
        <f t="shared" ref="D39:K39" si="9">SUM(D38)</f>
        <v>0</v>
      </c>
      <c r="E39" s="2503">
        <f t="shared" si="9"/>
        <v>0</v>
      </c>
      <c r="F39" s="2504">
        <f t="shared" si="9"/>
        <v>75000</v>
      </c>
      <c r="G39" s="2502">
        <f t="shared" si="9"/>
        <v>75000</v>
      </c>
      <c r="H39" s="2505">
        <f t="shared" si="9"/>
        <v>75000</v>
      </c>
      <c r="I39" s="2506">
        <f t="shared" si="9"/>
        <v>0</v>
      </c>
      <c r="J39" s="2502">
        <f t="shared" si="9"/>
        <v>0</v>
      </c>
      <c r="K39" s="2503">
        <f t="shared" si="9"/>
        <v>0</v>
      </c>
      <c r="L39" s="1459"/>
      <c r="M39" s="1459"/>
    </row>
    <row r="40" spans="1:13" ht="11.25" customHeight="1" x14ac:dyDescent="0.25">
      <c r="A40" s="1132" t="s">
        <v>689</v>
      </c>
      <c r="B40" s="1125"/>
      <c r="C40" s="1656"/>
      <c r="D40" s="1656"/>
      <c r="E40" s="1657"/>
      <c r="F40" s="2486"/>
      <c r="G40" s="1656"/>
      <c r="H40" s="1659"/>
      <c r="I40" s="1660"/>
      <c r="J40" s="1656"/>
      <c r="K40" s="1657"/>
      <c r="L40" s="1459"/>
      <c r="M40" s="1459"/>
    </row>
    <row r="41" spans="1:13" ht="11.25" customHeight="1" x14ac:dyDescent="0.25">
      <c r="A41" s="1132" t="s">
        <v>690</v>
      </c>
      <c r="B41" s="1125"/>
      <c r="C41" s="1656"/>
      <c r="D41" s="1656"/>
      <c r="E41" s="1657"/>
      <c r="F41" s="2486"/>
      <c r="G41" s="1656"/>
      <c r="H41" s="1659"/>
      <c r="I41" s="1660"/>
      <c r="J41" s="1656"/>
      <c r="K41" s="1657"/>
      <c r="L41" s="1459"/>
      <c r="M41" s="1459"/>
    </row>
    <row r="42" spans="1:13" ht="11.25" customHeight="1" x14ac:dyDescent="0.25">
      <c r="A42" s="1132" t="s">
        <v>878</v>
      </c>
      <c r="B42" s="1125"/>
      <c r="C42" s="1656"/>
      <c r="D42" s="1656"/>
      <c r="E42" s="1657"/>
      <c r="F42" s="2486"/>
      <c r="G42" s="1656"/>
      <c r="H42" s="1659"/>
      <c r="I42" s="1660"/>
      <c r="J42" s="1656"/>
      <c r="K42" s="1657"/>
      <c r="L42" s="1459"/>
      <c r="M42" s="1459"/>
    </row>
    <row r="43" spans="1:13" ht="11.25" customHeight="1" x14ac:dyDescent="0.25">
      <c r="A43" s="1132" t="s">
        <v>879</v>
      </c>
      <c r="B43" s="1125"/>
      <c r="C43" s="1656"/>
      <c r="D43" s="1656"/>
      <c r="E43" s="1657"/>
      <c r="F43" s="2486"/>
      <c r="G43" s="1656"/>
      <c r="H43" s="1659"/>
      <c r="I43" s="1660"/>
      <c r="J43" s="1656"/>
      <c r="K43" s="1657"/>
      <c r="L43" s="1459"/>
      <c r="M43" s="1459"/>
    </row>
    <row r="44" spans="1:13" ht="11.25" customHeight="1" x14ac:dyDescent="0.25">
      <c r="A44" s="1132" t="s">
        <v>198</v>
      </c>
      <c r="B44" s="1125"/>
      <c r="C44" s="1656"/>
      <c r="D44" s="1656"/>
      <c r="E44" s="1657"/>
      <c r="F44" s="2486"/>
      <c r="G44" s="1656"/>
      <c r="H44" s="1659"/>
      <c r="I44" s="1660"/>
      <c r="J44" s="1656"/>
      <c r="K44" s="1657"/>
      <c r="L44" s="1459"/>
      <c r="M44" s="1459"/>
    </row>
    <row r="45" spans="1:13" ht="11.25" customHeight="1" x14ac:dyDescent="0.25">
      <c r="A45" s="1534" t="str">
        <f>$A$14</f>
        <v>Below Minimum Service Level sub-total</v>
      </c>
      <c r="B45" s="1125"/>
      <c r="C45" s="2492">
        <f t="shared" ref="C45:K45" si="10">SUM(C40:C44)</f>
        <v>0</v>
      </c>
      <c r="D45" s="2492">
        <f t="shared" si="10"/>
        <v>0</v>
      </c>
      <c r="E45" s="2493">
        <f t="shared" si="10"/>
        <v>0</v>
      </c>
      <c r="F45" s="2494">
        <f t="shared" si="10"/>
        <v>0</v>
      </c>
      <c r="G45" s="2492">
        <f t="shared" si="10"/>
        <v>0</v>
      </c>
      <c r="H45" s="2495">
        <f t="shared" si="10"/>
        <v>0</v>
      </c>
      <c r="I45" s="2496">
        <f t="shared" si="10"/>
        <v>0</v>
      </c>
      <c r="J45" s="2492">
        <f t="shared" si="10"/>
        <v>0</v>
      </c>
      <c r="K45" s="2493">
        <f t="shared" si="10"/>
        <v>0</v>
      </c>
      <c r="L45" s="1459"/>
      <c r="M45" s="1459"/>
    </row>
    <row r="46" spans="1:13" ht="11.25" customHeight="1" x14ac:dyDescent="0.25">
      <c r="A46" s="1133" t="str">
        <f>$A$15</f>
        <v>Total number of households</v>
      </c>
      <c r="B46" s="1125">
        <f>$B$15</f>
        <v>5</v>
      </c>
      <c r="C46" s="2497">
        <f>C39+C45</f>
        <v>20600</v>
      </c>
      <c r="D46" s="2497">
        <f t="shared" ref="D46:K46" si="11">D39+D45</f>
        <v>0</v>
      </c>
      <c r="E46" s="2498">
        <f t="shared" si="11"/>
        <v>0</v>
      </c>
      <c r="F46" s="2499">
        <f t="shared" si="11"/>
        <v>75000</v>
      </c>
      <c r="G46" s="2497">
        <f t="shared" si="11"/>
        <v>75000</v>
      </c>
      <c r="H46" s="2500">
        <f t="shared" si="11"/>
        <v>75000</v>
      </c>
      <c r="I46" s="2501">
        <f t="shared" si="11"/>
        <v>0</v>
      </c>
      <c r="J46" s="2497">
        <f t="shared" si="11"/>
        <v>0</v>
      </c>
      <c r="K46" s="2498">
        <f t="shared" si="11"/>
        <v>0</v>
      </c>
      <c r="L46" s="1459"/>
      <c r="M46" s="1459"/>
    </row>
    <row r="47" spans="1:13" ht="5.0999999999999996" customHeight="1" x14ac:dyDescent="0.25">
      <c r="A47" s="1136"/>
      <c r="B47" s="1137"/>
      <c r="C47" s="1138"/>
      <c r="D47" s="1138"/>
      <c r="E47" s="1139"/>
      <c r="F47" s="1140"/>
      <c r="G47" s="1138"/>
      <c r="H47" s="1141"/>
      <c r="I47" s="1142"/>
      <c r="J47" s="1138"/>
      <c r="K47" s="1139"/>
      <c r="L47" s="1459"/>
      <c r="M47" s="1459"/>
    </row>
    <row r="48" spans="1:13" ht="15.75" customHeight="1" x14ac:dyDescent="0.25">
      <c r="A48" s="1124" t="s">
        <v>199</v>
      </c>
      <c r="B48" s="1125">
        <v>7</v>
      </c>
      <c r="C48" s="1059"/>
      <c r="D48" s="1059"/>
      <c r="E48" s="1143"/>
      <c r="F48" s="1107"/>
      <c r="G48" s="1059"/>
      <c r="H48" s="1062"/>
      <c r="I48" s="1063"/>
      <c r="J48" s="1059"/>
      <c r="K48" s="1060"/>
      <c r="L48" s="1459"/>
      <c r="M48" s="1459"/>
    </row>
    <row r="49" spans="1:13" ht="11.25" customHeight="1" x14ac:dyDescent="0.25">
      <c r="A49" s="1132" t="s">
        <v>1302</v>
      </c>
      <c r="B49" s="1125"/>
      <c r="C49" s="1656">
        <v>75633</v>
      </c>
      <c r="D49" s="1656">
        <v>75633</v>
      </c>
      <c r="E49" s="1896"/>
      <c r="F49" s="1660">
        <v>75633</v>
      </c>
      <c r="G49" s="1656">
        <v>75633</v>
      </c>
      <c r="H49" s="1656">
        <v>75633</v>
      </c>
      <c r="I49" s="1656">
        <v>75633</v>
      </c>
      <c r="J49" s="1656">
        <f>I49*1.059</f>
        <v>80095.346999999994</v>
      </c>
      <c r="K49" s="1896">
        <f>J49*1.056</f>
        <v>84580.686432000002</v>
      </c>
      <c r="L49" s="1459"/>
      <c r="M49" s="1459"/>
    </row>
    <row r="50" spans="1:13" ht="11.25" customHeight="1" x14ac:dyDescent="0.25">
      <c r="A50" s="1132" t="s">
        <v>376</v>
      </c>
      <c r="B50" s="1125"/>
      <c r="C50" s="1656"/>
      <c r="D50" s="1656"/>
      <c r="E50" s="1896"/>
      <c r="F50" s="1660"/>
      <c r="G50" s="1656"/>
      <c r="H50" s="1896"/>
      <c r="I50" s="1660"/>
      <c r="J50" s="1656"/>
      <c r="K50" s="1896"/>
      <c r="L50" s="1459"/>
      <c r="M50" s="1459"/>
    </row>
    <row r="51" spans="1:13" ht="11.25" customHeight="1" x14ac:dyDescent="0.25">
      <c r="A51" s="1132" t="s">
        <v>1304</v>
      </c>
      <c r="B51" s="1125"/>
      <c r="C51" s="1656"/>
      <c r="D51" s="1656"/>
      <c r="E51" s="1896"/>
      <c r="F51" s="1660"/>
      <c r="G51" s="1656"/>
      <c r="H51" s="1896"/>
      <c r="I51" s="1660"/>
      <c r="J51" s="1656"/>
      <c r="K51" s="1896"/>
      <c r="L51" s="1459"/>
      <c r="M51" s="1459"/>
    </row>
    <row r="52" spans="1:13" ht="11.25" customHeight="1" x14ac:dyDescent="0.25">
      <c r="A52" s="1330" t="s">
        <v>377</v>
      </c>
      <c r="B52" s="1137"/>
      <c r="C52" s="1665"/>
      <c r="D52" s="1665"/>
      <c r="E52" s="2516"/>
      <c r="F52" s="1670"/>
      <c r="G52" s="1665"/>
      <c r="H52" s="2516"/>
      <c r="I52" s="1670"/>
      <c r="J52" s="1665"/>
      <c r="K52" s="2516"/>
      <c r="L52" s="1459"/>
      <c r="M52" s="1459"/>
    </row>
    <row r="53" spans="1:13" ht="4.5" customHeight="1" x14ac:dyDescent="0.25">
      <c r="A53" s="1145"/>
      <c r="B53" s="1125"/>
      <c r="C53" s="1059"/>
      <c r="D53" s="1059"/>
      <c r="E53" s="1146"/>
      <c r="F53" s="1063"/>
      <c r="G53" s="1059"/>
      <c r="H53" s="1062"/>
      <c r="I53" s="1063"/>
      <c r="J53" s="1059"/>
      <c r="K53" s="1146"/>
      <c r="L53" s="1459"/>
      <c r="M53" s="1459"/>
    </row>
    <row r="54" spans="1:13" ht="11.25" customHeight="1" x14ac:dyDescent="0.25">
      <c r="A54" s="1331" t="s">
        <v>391</v>
      </c>
      <c r="B54" s="1125">
        <v>8</v>
      </c>
      <c r="C54" s="1606"/>
      <c r="D54" s="1606"/>
      <c r="E54" s="1628"/>
      <c r="F54" s="1629"/>
      <c r="G54" s="1606"/>
      <c r="H54" s="1630"/>
      <c r="I54" s="1608"/>
      <c r="J54" s="1606"/>
      <c r="K54" s="1628"/>
      <c r="L54" s="1459"/>
      <c r="M54" s="1459"/>
    </row>
    <row r="55" spans="1:13" ht="11.25" customHeight="1" x14ac:dyDescent="0.25">
      <c r="A55" s="1132" t="s">
        <v>1302</v>
      </c>
      <c r="B55" s="1125"/>
      <c r="C55" s="1606">
        <v>7069325</v>
      </c>
      <c r="D55" s="1606">
        <v>11872865.279999999</v>
      </c>
      <c r="E55" s="1628"/>
      <c r="F55" s="1629">
        <v>13376543.648256002</v>
      </c>
      <c r="G55" s="1606">
        <v>14078618.268256001</v>
      </c>
      <c r="H55" s="1630">
        <v>14078618.268256001</v>
      </c>
      <c r="I55" s="1052">
        <v>14261640</v>
      </c>
      <c r="J55" s="1606">
        <f>I55*1.059</f>
        <v>15103076.76</v>
      </c>
      <c r="K55" s="1628">
        <f>J55*1.056</f>
        <v>15948849.058560001</v>
      </c>
      <c r="L55" s="1459"/>
      <c r="M55" s="1459"/>
    </row>
    <row r="56" spans="1:13" ht="11.25" customHeight="1" x14ac:dyDescent="0.25">
      <c r="A56" s="1132" t="s">
        <v>1303</v>
      </c>
      <c r="B56" s="1125"/>
      <c r="C56" s="1606">
        <v>0</v>
      </c>
      <c r="D56" s="1606">
        <v>0</v>
      </c>
      <c r="E56" s="1628"/>
      <c r="F56" s="1629">
        <v>0</v>
      </c>
      <c r="G56" s="1606"/>
      <c r="H56" s="1630"/>
      <c r="I56" s="1052">
        <v>0</v>
      </c>
      <c r="J56" s="1052">
        <v>0</v>
      </c>
      <c r="K56" s="1052">
        <v>0</v>
      </c>
      <c r="L56" s="1459"/>
      <c r="M56" s="1459"/>
    </row>
    <row r="57" spans="1:13" ht="11.25" customHeight="1" x14ac:dyDescent="0.25">
      <c r="A57" s="1132" t="s">
        <v>1304</v>
      </c>
      <c r="B57" s="1125"/>
      <c r="C57" s="1606">
        <v>1725575</v>
      </c>
      <c r="D57" s="1606">
        <v>1669392.99</v>
      </c>
      <c r="E57" s="1628"/>
      <c r="F57" s="1629">
        <v>2500000</v>
      </c>
      <c r="G57" s="1606">
        <v>1135119</v>
      </c>
      <c r="H57" s="1630">
        <v>1135119</v>
      </c>
      <c r="I57" s="1608">
        <v>0</v>
      </c>
      <c r="J57" s="1052">
        <v>0</v>
      </c>
      <c r="K57" s="1052">
        <v>0</v>
      </c>
      <c r="L57" s="1459"/>
      <c r="M57" s="1459"/>
    </row>
    <row r="58" spans="1:13" ht="11.25" customHeight="1" x14ac:dyDescent="0.25">
      <c r="A58" s="1132" t="s">
        <v>1305</v>
      </c>
      <c r="B58" s="1125"/>
      <c r="C58" s="1606">
        <v>0</v>
      </c>
      <c r="D58" s="1606">
        <v>0</v>
      </c>
      <c r="E58" s="1628"/>
      <c r="F58" s="1629">
        <v>0</v>
      </c>
      <c r="G58" s="1606"/>
      <c r="H58" s="1630"/>
      <c r="I58" s="1608"/>
      <c r="J58" s="1606"/>
      <c r="K58" s="1628"/>
      <c r="L58" s="1459"/>
      <c r="M58" s="1459"/>
    </row>
    <row r="59" spans="1:13" ht="11.25" customHeight="1" x14ac:dyDescent="0.25">
      <c r="A59" s="1332" t="s">
        <v>741</v>
      </c>
      <c r="B59" s="1137"/>
      <c r="C59" s="1333">
        <f>SUM(C54:C58)</f>
        <v>8794900</v>
      </c>
      <c r="D59" s="1333">
        <f t="shared" ref="D59:K59" si="12">SUM(D54:D58)</f>
        <v>13542258.27</v>
      </c>
      <c r="E59" s="1334">
        <f t="shared" si="12"/>
        <v>0</v>
      </c>
      <c r="F59" s="1335">
        <f t="shared" si="12"/>
        <v>15876543.648256002</v>
      </c>
      <c r="G59" s="1333">
        <f t="shared" si="12"/>
        <v>15213737.268256001</v>
      </c>
      <c r="H59" s="1336">
        <f t="shared" si="12"/>
        <v>15213737.268256001</v>
      </c>
      <c r="I59" s="1337">
        <f t="shared" si="12"/>
        <v>14261640</v>
      </c>
      <c r="J59" s="1333">
        <f t="shared" si="12"/>
        <v>15103076.76</v>
      </c>
      <c r="K59" s="1334">
        <f t="shared" si="12"/>
        <v>15948849.058560001</v>
      </c>
      <c r="L59" s="1459"/>
      <c r="M59" s="1459"/>
    </row>
    <row r="60" spans="1:13" ht="3.75" customHeight="1" x14ac:dyDescent="0.25">
      <c r="A60" s="1184"/>
      <c r="B60" s="1125"/>
      <c r="C60" s="1126"/>
      <c r="D60" s="1126"/>
      <c r="E60" s="1127"/>
      <c r="F60" s="1128"/>
      <c r="G60" s="1126"/>
      <c r="H60" s="1129"/>
      <c r="I60" s="1130"/>
      <c r="J60" s="1126"/>
      <c r="K60" s="1127"/>
      <c r="L60" s="1459"/>
      <c r="M60" s="1459"/>
    </row>
    <row r="61" spans="1:13" ht="11.25" customHeight="1" x14ac:dyDescent="0.25">
      <c r="A61" s="1124" t="s">
        <v>738</v>
      </c>
      <c r="B61" s="1125"/>
      <c r="C61" s="1059"/>
      <c r="D61" s="1059"/>
      <c r="E61" s="1060"/>
      <c r="F61" s="1061"/>
      <c r="G61" s="1059"/>
      <c r="H61" s="1062"/>
      <c r="I61" s="1063"/>
      <c r="J61" s="1059"/>
      <c r="K61" s="1060"/>
      <c r="L61" s="1459"/>
      <c r="M61" s="1459"/>
    </row>
    <row r="62" spans="1:13" ht="11.25" customHeight="1" x14ac:dyDescent="0.25">
      <c r="A62" s="1132" t="s">
        <v>1898</v>
      </c>
      <c r="B62" s="1125"/>
      <c r="C62" s="1656">
        <v>15000</v>
      </c>
      <c r="D62" s="1656">
        <v>15000</v>
      </c>
      <c r="E62" s="1657"/>
      <c r="F62" s="1658">
        <v>15000</v>
      </c>
      <c r="G62" s="1656">
        <v>15000</v>
      </c>
      <c r="H62" s="1656">
        <v>15000</v>
      </c>
      <c r="I62" s="1660">
        <v>15000</v>
      </c>
      <c r="J62" s="1656">
        <f>I62*1.059</f>
        <v>15885</v>
      </c>
      <c r="K62" s="1657">
        <f>J62*1.056</f>
        <v>16774.560000000001</v>
      </c>
      <c r="L62" s="1459"/>
      <c r="M62" s="1459"/>
    </row>
    <row r="63" spans="1:13" ht="11.25" customHeight="1" x14ac:dyDescent="0.25">
      <c r="A63" s="1132" t="s">
        <v>1396</v>
      </c>
      <c r="B63" s="1125"/>
      <c r="C63" s="1656">
        <v>6</v>
      </c>
      <c r="D63" s="1661">
        <v>6</v>
      </c>
      <c r="E63" s="1662"/>
      <c r="F63" s="1658">
        <v>6</v>
      </c>
      <c r="G63" s="1661">
        <v>6</v>
      </c>
      <c r="H63" s="1661">
        <v>6</v>
      </c>
      <c r="I63" s="1664">
        <v>6</v>
      </c>
      <c r="J63" s="1656">
        <v>6</v>
      </c>
      <c r="K63" s="1657">
        <v>6</v>
      </c>
      <c r="L63" s="1459"/>
      <c r="M63" s="1459"/>
    </row>
    <row r="64" spans="1:13" ht="11.25" customHeight="1" x14ac:dyDescent="0.25">
      <c r="A64" s="1132" t="s">
        <v>1397</v>
      </c>
      <c r="B64" s="1125"/>
      <c r="C64" s="1656">
        <v>0</v>
      </c>
      <c r="D64" s="1656">
        <v>0</v>
      </c>
      <c r="E64" s="1657"/>
      <c r="F64" s="1658">
        <v>0</v>
      </c>
      <c r="G64" s="1661">
        <v>0</v>
      </c>
      <c r="H64" s="1663"/>
      <c r="I64" s="1660"/>
      <c r="J64" s="1656"/>
      <c r="K64" s="1657"/>
      <c r="L64" s="1459"/>
      <c r="M64" s="1459"/>
    </row>
    <row r="65" spans="1:13" ht="11.25" customHeight="1" x14ac:dyDescent="0.25">
      <c r="A65" s="1132" t="s">
        <v>683</v>
      </c>
      <c r="B65" s="1125"/>
      <c r="C65" s="1656"/>
      <c r="D65" s="1656"/>
      <c r="E65" s="1657"/>
      <c r="F65" s="1658"/>
      <c r="G65" s="1661"/>
      <c r="H65" s="1663"/>
      <c r="I65" s="1660"/>
      <c r="J65" s="1656"/>
      <c r="K65" s="1657"/>
      <c r="L65" s="1459"/>
      <c r="M65" s="1459"/>
    </row>
    <row r="66" spans="1:13" ht="11.25" customHeight="1" x14ac:dyDescent="0.25">
      <c r="A66" s="1132" t="s">
        <v>378</v>
      </c>
      <c r="B66" s="1125"/>
      <c r="C66" s="1656">
        <v>50</v>
      </c>
      <c r="D66" s="1661">
        <v>50</v>
      </c>
      <c r="E66" s="1662"/>
      <c r="F66" s="1658">
        <v>50</v>
      </c>
      <c r="G66" s="1661">
        <v>50</v>
      </c>
      <c r="H66" s="1661">
        <v>50</v>
      </c>
      <c r="I66" s="1664">
        <v>0</v>
      </c>
      <c r="J66" s="1664">
        <v>0</v>
      </c>
      <c r="K66" s="1664">
        <v>0</v>
      </c>
      <c r="L66" s="1459"/>
      <c r="M66" s="1459"/>
    </row>
    <row r="67" spans="1:13" ht="11.25" customHeight="1" x14ac:dyDescent="0.25">
      <c r="A67" s="1144" t="s">
        <v>687</v>
      </c>
      <c r="B67" s="1137"/>
      <c r="C67" s="1665">
        <v>0</v>
      </c>
      <c r="D67" s="1665">
        <v>0</v>
      </c>
      <c r="E67" s="1666"/>
      <c r="F67" s="1667">
        <v>0</v>
      </c>
      <c r="G67" s="1668">
        <v>0</v>
      </c>
      <c r="H67" s="1669"/>
      <c r="I67" s="1670"/>
      <c r="J67" s="1665"/>
      <c r="K67" s="1666"/>
      <c r="L67" s="1459"/>
      <c r="M67" s="1459"/>
    </row>
    <row r="68" spans="1:13" ht="15.75" customHeight="1" x14ac:dyDescent="0.25">
      <c r="A68" s="1124" t="s">
        <v>379</v>
      </c>
      <c r="B68" s="1125">
        <v>9</v>
      </c>
      <c r="C68" s="1059"/>
      <c r="D68" s="1059"/>
      <c r="E68" s="1060"/>
      <c r="F68" s="1061"/>
      <c r="G68" s="1059"/>
      <c r="H68" s="1062"/>
      <c r="I68" s="1063"/>
      <c r="J68" s="1059"/>
      <c r="K68" s="1060"/>
      <c r="L68" s="1459"/>
      <c r="M68" s="1459"/>
    </row>
    <row r="69" spans="1:13" ht="11.25" customHeight="1" x14ac:dyDescent="0.25">
      <c r="A69" s="1132" t="s">
        <v>380</v>
      </c>
      <c r="B69" s="1125"/>
      <c r="C69" s="1606">
        <v>15000</v>
      </c>
      <c r="D69" s="1606">
        <v>15000</v>
      </c>
      <c r="E69" s="1628"/>
      <c r="F69" s="1629">
        <v>15000</v>
      </c>
      <c r="G69" s="1606">
        <v>15000</v>
      </c>
      <c r="H69" s="1606">
        <v>15000</v>
      </c>
      <c r="I69" s="1608">
        <v>15000</v>
      </c>
      <c r="J69" s="1606">
        <f>I69*1.059</f>
        <v>15885</v>
      </c>
      <c r="K69" s="1628">
        <f>J69*1.056</f>
        <v>16774.560000000001</v>
      </c>
      <c r="L69" s="1459"/>
      <c r="M69" s="1459"/>
    </row>
    <row r="70" spans="1:13" ht="24" customHeight="1" x14ac:dyDescent="0.25">
      <c r="A70" s="2517" t="s">
        <v>739</v>
      </c>
      <c r="B70" s="1125"/>
      <c r="C70" s="1606"/>
      <c r="D70" s="1606"/>
      <c r="E70" s="1628"/>
      <c r="F70" s="1629"/>
      <c r="G70" s="1606"/>
      <c r="H70" s="1630"/>
      <c r="I70" s="1608"/>
      <c r="J70" s="1606"/>
      <c r="K70" s="1628"/>
      <c r="L70" s="1459"/>
      <c r="M70" s="1459"/>
    </row>
    <row r="71" spans="1:13" ht="11.25" customHeight="1" x14ac:dyDescent="0.25">
      <c r="A71" s="1132" t="s">
        <v>948</v>
      </c>
      <c r="B71" s="1125"/>
      <c r="C71" s="1606"/>
      <c r="D71" s="1606"/>
      <c r="E71" s="1628"/>
      <c r="F71" s="1629">
        <v>9156600</v>
      </c>
      <c r="G71" s="1606">
        <v>9156600</v>
      </c>
      <c r="H71" s="1606">
        <v>9156600</v>
      </c>
      <c r="I71" s="1608">
        <v>14261640</v>
      </c>
      <c r="J71" s="1606">
        <v>15103076.76</v>
      </c>
      <c r="K71" s="1628">
        <v>15948849.058560001</v>
      </c>
      <c r="L71" s="1459"/>
      <c r="M71" s="1459"/>
    </row>
    <row r="72" spans="1:13" ht="11.25" customHeight="1" x14ac:dyDescent="0.25">
      <c r="A72" s="1132" t="s">
        <v>949</v>
      </c>
      <c r="B72" s="1125"/>
      <c r="C72" s="1606"/>
      <c r="D72" s="1606"/>
      <c r="E72" s="1628"/>
      <c r="F72" s="1629"/>
      <c r="G72" s="1606"/>
      <c r="H72" s="1630"/>
      <c r="I72" s="1608"/>
      <c r="J72" s="1606"/>
      <c r="K72" s="1628"/>
      <c r="L72" s="1459"/>
      <c r="M72" s="1459"/>
    </row>
    <row r="73" spans="1:13" ht="11.25" customHeight="1" x14ac:dyDescent="0.25">
      <c r="A73" s="1132" t="s">
        <v>1804</v>
      </c>
      <c r="B73" s="1125"/>
      <c r="C73" s="1606"/>
      <c r="D73" s="1606"/>
      <c r="E73" s="1628"/>
      <c r="F73" s="1629"/>
      <c r="G73" s="1606"/>
      <c r="H73" s="1630"/>
      <c r="I73" s="1608"/>
      <c r="J73" s="1606"/>
      <c r="K73" s="1628"/>
      <c r="L73" s="1459"/>
      <c r="M73" s="1459"/>
    </row>
    <row r="74" spans="1:13" ht="11.25" customHeight="1" x14ac:dyDescent="0.25">
      <c r="A74" s="1132" t="s">
        <v>1279</v>
      </c>
      <c r="B74" s="1125"/>
      <c r="C74" s="1606"/>
      <c r="D74" s="1606"/>
      <c r="E74" s="1628"/>
      <c r="F74" s="1629"/>
      <c r="G74" s="1606"/>
      <c r="H74" s="1630"/>
      <c r="I74" s="1608"/>
      <c r="J74" s="1606"/>
      <c r="K74" s="1628"/>
      <c r="L74" s="1459"/>
      <c r="M74" s="1459"/>
    </row>
    <row r="75" spans="1:13" ht="11.25" customHeight="1" x14ac:dyDescent="0.25">
      <c r="A75" s="1132" t="s">
        <v>381</v>
      </c>
      <c r="B75" s="1125"/>
      <c r="C75" s="1606"/>
      <c r="D75" s="1606"/>
      <c r="E75" s="1628"/>
      <c r="F75" s="1629"/>
      <c r="G75" s="1606"/>
      <c r="H75" s="1630"/>
      <c r="I75" s="1608"/>
      <c r="J75" s="1606"/>
      <c r="K75" s="1628"/>
      <c r="L75" s="1459"/>
      <c r="M75" s="1459"/>
    </row>
    <row r="76" spans="1:13" ht="11.25" customHeight="1" x14ac:dyDescent="0.25">
      <c r="A76" s="1132" t="s">
        <v>382</v>
      </c>
      <c r="B76" s="1125">
        <v>6</v>
      </c>
      <c r="C76" s="1606"/>
      <c r="D76" s="1606"/>
      <c r="E76" s="1628"/>
      <c r="F76" s="1629"/>
      <c r="G76" s="1606"/>
      <c r="H76" s="1630"/>
      <c r="I76" s="1608"/>
      <c r="J76" s="1606"/>
      <c r="K76" s="1628"/>
      <c r="L76" s="1459"/>
      <c r="M76" s="1459"/>
    </row>
    <row r="77" spans="1:13" ht="11.25" customHeight="1" x14ac:dyDescent="0.25">
      <c r="A77" s="1132" t="s">
        <v>292</v>
      </c>
      <c r="B77" s="1125"/>
      <c r="C77" s="1606"/>
      <c r="D77" s="1606"/>
      <c r="E77" s="1628"/>
      <c r="F77" s="1629"/>
      <c r="G77" s="1606"/>
      <c r="H77" s="1630"/>
      <c r="I77" s="1608"/>
      <c r="J77" s="1606"/>
      <c r="K77" s="1628"/>
      <c r="L77" s="1459"/>
      <c r="M77" s="1459"/>
    </row>
    <row r="78" spans="1:13" ht="25.5" x14ac:dyDescent="0.25">
      <c r="A78" s="1430" t="s">
        <v>383</v>
      </c>
      <c r="B78" s="1147"/>
      <c r="C78" s="1148">
        <f t="shared" ref="C78:I78" si="13">SUM(C69:C77)</f>
        <v>15000</v>
      </c>
      <c r="D78" s="1148">
        <f t="shared" si="13"/>
        <v>15000</v>
      </c>
      <c r="E78" s="1149">
        <f t="shared" si="13"/>
        <v>0</v>
      </c>
      <c r="F78" s="1150">
        <f t="shared" si="13"/>
        <v>9171600</v>
      </c>
      <c r="G78" s="1148">
        <f t="shared" si="13"/>
        <v>9171600</v>
      </c>
      <c r="H78" s="1151">
        <f t="shared" si="13"/>
        <v>9171600</v>
      </c>
      <c r="I78" s="1152">
        <f t="shared" si="13"/>
        <v>14276640</v>
      </c>
      <c r="J78" s="1148">
        <f>SUM(J69:J77)</f>
        <v>15118961.76</v>
      </c>
      <c r="K78" s="1149">
        <f>SUM(K69:K77)</f>
        <v>15965623.618560001</v>
      </c>
      <c r="L78" s="1459"/>
      <c r="M78" s="1459"/>
    </row>
    <row r="79" spans="1:13" ht="11.25" customHeight="1" x14ac:dyDescent="0.25">
      <c r="A79" s="1153" t="str">
        <f>head27a</f>
        <v>References</v>
      </c>
      <c r="B79" s="706"/>
      <c r="L79" s="1459"/>
      <c r="M79" s="1459"/>
    </row>
    <row r="80" spans="1:13" ht="11.25" customHeight="1" x14ac:dyDescent="0.25">
      <c r="A80" s="1154" t="s">
        <v>509</v>
      </c>
      <c r="B80" s="706"/>
    </row>
    <row r="81" spans="1:11" ht="11.25" customHeight="1" x14ac:dyDescent="0.25">
      <c r="A81" s="1154" t="s">
        <v>510</v>
      </c>
      <c r="B81" s="706"/>
    </row>
    <row r="82" spans="1:11" ht="11.25" customHeight="1" x14ac:dyDescent="0.25">
      <c r="A82" s="1154" t="s">
        <v>511</v>
      </c>
      <c r="B82" s="706"/>
    </row>
    <row r="83" spans="1:11" ht="11.25" customHeight="1" x14ac:dyDescent="0.25">
      <c r="A83" s="1154" t="s">
        <v>512</v>
      </c>
      <c r="B83" s="1155"/>
      <c r="C83" s="1155"/>
      <c r="D83" s="1155"/>
      <c r="E83" s="1155"/>
      <c r="F83" s="1155"/>
      <c r="G83" s="1155"/>
      <c r="H83" s="1155"/>
      <c r="I83" s="1155"/>
      <c r="J83" s="1155"/>
      <c r="K83" s="1155"/>
    </row>
    <row r="84" spans="1:11" ht="11.25" customHeight="1" x14ac:dyDescent="0.25">
      <c r="A84" s="1154" t="s">
        <v>2281</v>
      </c>
      <c r="B84" s="1155"/>
      <c r="C84" s="1155"/>
      <c r="D84" s="1155"/>
      <c r="E84" s="1155"/>
      <c r="F84" s="1155"/>
      <c r="G84" s="1155"/>
      <c r="H84" s="1155"/>
      <c r="I84" s="1155"/>
      <c r="J84" s="1155"/>
      <c r="K84" s="1155"/>
    </row>
    <row r="85" spans="1:11" ht="11.25" customHeight="1" x14ac:dyDescent="0.25">
      <c r="A85" s="1154" t="s">
        <v>513</v>
      </c>
      <c r="B85" s="1155"/>
      <c r="C85" s="1155"/>
      <c r="D85" s="1155"/>
      <c r="E85" s="1155"/>
      <c r="F85" s="1155"/>
      <c r="G85" s="1155"/>
      <c r="H85" s="1155"/>
      <c r="I85" s="1155"/>
      <c r="J85" s="1155"/>
      <c r="K85" s="1155"/>
    </row>
    <row r="86" spans="1:11" ht="11.25" customHeight="1" x14ac:dyDescent="0.25">
      <c r="A86" s="1154" t="s">
        <v>2280</v>
      </c>
      <c r="B86" s="1155"/>
      <c r="C86" s="1155"/>
      <c r="D86" s="1155"/>
      <c r="E86" s="1155"/>
      <c r="F86" s="1155"/>
      <c r="G86" s="1155"/>
      <c r="H86" s="1155"/>
      <c r="I86" s="1155"/>
      <c r="J86" s="1155"/>
      <c r="K86" s="1155"/>
    </row>
    <row r="87" spans="1:11" ht="11.25" customHeight="1" x14ac:dyDescent="0.25">
      <c r="A87" s="1154" t="s">
        <v>817</v>
      </c>
      <c r="B87" s="1155"/>
      <c r="C87" s="1155"/>
      <c r="D87" s="1155"/>
      <c r="E87" s="1155"/>
      <c r="F87" s="1155"/>
      <c r="G87" s="1155"/>
      <c r="H87" s="1155"/>
      <c r="I87" s="1155"/>
      <c r="J87" s="1155"/>
      <c r="K87" s="1155"/>
    </row>
    <row r="88" spans="1:11" ht="11.25" customHeight="1" x14ac:dyDescent="0.25">
      <c r="A88" s="1154" t="s">
        <v>1535</v>
      </c>
      <c r="B88" s="1154"/>
      <c r="C88" s="1155"/>
      <c r="D88" s="1155"/>
      <c r="E88" s="1155"/>
      <c r="F88" s="1155"/>
      <c r="G88" s="1155"/>
      <c r="H88" s="1155"/>
      <c r="I88" s="1155"/>
      <c r="J88" s="1155"/>
      <c r="K88" s="1155"/>
    </row>
    <row r="89" spans="1:11" ht="11.25" customHeight="1" x14ac:dyDescent="0.25">
      <c r="A89" s="1155"/>
      <c r="B89" s="1155"/>
      <c r="C89" s="1155"/>
      <c r="D89" s="1155"/>
      <c r="E89" s="1155"/>
      <c r="F89" s="1155"/>
      <c r="G89" s="1155"/>
      <c r="H89" s="1155"/>
      <c r="I89" s="1155"/>
      <c r="J89" s="1155"/>
      <c r="K89" s="1155"/>
    </row>
    <row r="90" spans="1:11" ht="11.25" customHeight="1" x14ac:dyDescent="0.25">
      <c r="A90" s="1155"/>
      <c r="B90" s="1155"/>
      <c r="C90" s="1155"/>
      <c r="D90" s="1155"/>
      <c r="E90" s="1155"/>
      <c r="F90" s="1155"/>
      <c r="G90" s="1155"/>
      <c r="H90" s="1155"/>
      <c r="I90" s="1155"/>
      <c r="J90" s="1155"/>
      <c r="K90" s="1155"/>
    </row>
    <row r="91" spans="1:11" ht="11.25" customHeight="1" x14ac:dyDescent="0.25">
      <c r="A91" s="2518" t="s">
        <v>2213</v>
      </c>
      <c r="B91" s="1155"/>
      <c r="D91" s="1155"/>
      <c r="E91" s="1155"/>
      <c r="F91" s="1155"/>
      <c r="G91" s="1155"/>
      <c r="H91" s="1155"/>
      <c r="I91" s="1155"/>
      <c r="J91" s="1155"/>
      <c r="K91" s="1155"/>
    </row>
    <row r="92" spans="1:11" ht="11.25" customHeight="1" x14ac:dyDescent="0.25">
      <c r="A92" s="2519" t="s">
        <v>2211</v>
      </c>
      <c r="B92" s="1155"/>
      <c r="C92" s="2505">
        <f>C15-'SA9'!E76</f>
        <v>0</v>
      </c>
      <c r="D92" s="2505">
        <f>D15-'SA9'!F76</f>
        <v>0</v>
      </c>
      <c r="E92" s="2505">
        <f>E15-'SA9'!G76</f>
        <v>0</v>
      </c>
      <c r="F92" s="2505">
        <f>F15-'SA9'!H76</f>
        <v>0</v>
      </c>
      <c r="G92" s="2505">
        <f>G15-'SA9'!I76</f>
        <v>0</v>
      </c>
      <c r="H92" s="2505">
        <f>H15-'SA9'!J76</f>
        <v>0</v>
      </c>
      <c r="I92" s="2505">
        <f>I15-'SA9'!K76</f>
        <v>0</v>
      </c>
      <c r="J92" s="2505">
        <f>J15-'SA9'!L76</f>
        <v>0</v>
      </c>
      <c r="K92" s="2505">
        <f>K15-'SA9'!M76</f>
        <v>0</v>
      </c>
    </row>
    <row r="93" spans="1:11" ht="11.25" customHeight="1" x14ac:dyDescent="0.25">
      <c r="A93" s="2519" t="s">
        <v>949</v>
      </c>
      <c r="B93" s="1155"/>
      <c r="C93" s="2505">
        <f>C27-'SA9'!E88</f>
        <v>0</v>
      </c>
      <c r="D93" s="2505">
        <f>D27-'SA9'!F88</f>
        <v>0</v>
      </c>
      <c r="E93" s="2505">
        <f>E27-'SA9'!G88</f>
        <v>0</v>
      </c>
      <c r="F93" s="2505">
        <f>F27-'SA9'!H88</f>
        <v>0</v>
      </c>
      <c r="G93" s="2505">
        <f>G27-'SA9'!I88</f>
        <v>0</v>
      </c>
      <c r="H93" s="2505">
        <f>H27-'SA9'!J88</f>
        <v>0</v>
      </c>
      <c r="I93" s="2505">
        <f>I27-'SA9'!K88</f>
        <v>0</v>
      </c>
      <c r="J93" s="2505">
        <f>J27-'SA9'!L88</f>
        <v>0</v>
      </c>
      <c r="K93" s="2505">
        <f>K27-'SA9'!M88</f>
        <v>0</v>
      </c>
    </row>
    <row r="94" spans="1:11" ht="11.25" customHeight="1" x14ac:dyDescent="0.25">
      <c r="A94" s="2519" t="s">
        <v>2212</v>
      </c>
      <c r="B94" s="1155"/>
      <c r="C94" s="2505">
        <f>C36-'SA9'!E97</f>
        <v>0</v>
      </c>
      <c r="D94" s="2505">
        <f>D36-'SA9'!F97</f>
        <v>0</v>
      </c>
      <c r="E94" s="2505">
        <f>E36-'SA9'!G97</f>
        <v>0</v>
      </c>
      <c r="F94" s="2505">
        <f>F36-'SA9'!H97</f>
        <v>0</v>
      </c>
      <c r="G94" s="2505">
        <f>G36-'SA9'!I97</f>
        <v>0</v>
      </c>
      <c r="H94" s="2505">
        <f>H36-'SA9'!J97</f>
        <v>0</v>
      </c>
      <c r="I94" s="2505">
        <f>I36-'SA9'!K97</f>
        <v>0</v>
      </c>
      <c r="J94" s="2505">
        <f>J36-'SA9'!L97</f>
        <v>0</v>
      </c>
      <c r="K94" s="2505">
        <f>K36-'SA9'!M97</f>
        <v>0</v>
      </c>
    </row>
    <row r="95" spans="1:11" ht="11.25" customHeight="1" x14ac:dyDescent="0.25">
      <c r="A95" s="2519" t="s">
        <v>1279</v>
      </c>
      <c r="B95" s="1155"/>
      <c r="C95" s="2505">
        <f>C46-'SA9'!E107</f>
        <v>0</v>
      </c>
      <c r="D95" s="2505">
        <f>D46-'SA9'!F107</f>
        <v>0</v>
      </c>
      <c r="E95" s="2505">
        <f>E46-'SA9'!G107</f>
        <v>0</v>
      </c>
      <c r="F95" s="2505">
        <f>F46-'SA9'!H107</f>
        <v>0</v>
      </c>
      <c r="G95" s="2505">
        <f>G46-'SA9'!I107</f>
        <v>0</v>
      </c>
      <c r="H95" s="2505">
        <f>H46-'SA9'!J107</f>
        <v>0</v>
      </c>
      <c r="I95" s="2505">
        <f>I46-'SA9'!K107</f>
        <v>0</v>
      </c>
      <c r="J95" s="2505">
        <f>J46-'SA9'!L107</f>
        <v>0</v>
      </c>
      <c r="K95" s="2505">
        <f>K46-'SA9'!M107</f>
        <v>0</v>
      </c>
    </row>
    <row r="96" spans="1:11" ht="11.25" customHeight="1" x14ac:dyDescent="0.25">
      <c r="A96" s="1155"/>
      <c r="B96" s="1155"/>
      <c r="C96" s="1155"/>
      <c r="D96" s="1155"/>
      <c r="E96" s="1155"/>
      <c r="F96" s="1155"/>
      <c r="G96" s="1155"/>
      <c r="H96" s="1155"/>
      <c r="I96" s="1155"/>
      <c r="J96" s="1155"/>
      <c r="K96" s="1155"/>
    </row>
    <row r="97" spans="1:11" ht="11.25" customHeight="1" x14ac:dyDescent="0.25">
      <c r="A97" s="1155"/>
      <c r="B97" s="1155"/>
      <c r="C97" s="1155"/>
      <c r="D97" s="1155"/>
      <c r="E97" s="1155"/>
      <c r="F97" s="1155"/>
      <c r="G97" s="1155"/>
      <c r="H97" s="1155"/>
      <c r="I97" s="1155"/>
      <c r="J97" s="1155"/>
      <c r="K97" s="1155"/>
    </row>
    <row r="98" spans="1:11" ht="11.25" customHeight="1" x14ac:dyDescent="0.25">
      <c r="A98" s="1155"/>
      <c r="B98" s="1155"/>
      <c r="C98" s="1155"/>
      <c r="D98" s="1155"/>
      <c r="E98" s="1155"/>
      <c r="F98" s="1155"/>
      <c r="G98" s="1155"/>
      <c r="H98" s="1155"/>
      <c r="I98" s="1155"/>
      <c r="J98" s="1155"/>
      <c r="K98" s="1155"/>
    </row>
    <row r="99" spans="1:11" ht="11.25" customHeight="1" x14ac:dyDescent="0.25">
      <c r="B99" s="706"/>
    </row>
    <row r="100" spans="1:11" ht="11.25" customHeight="1" x14ac:dyDescent="0.25">
      <c r="B100" s="706"/>
    </row>
    <row r="101" spans="1:11" ht="11.25" customHeight="1" x14ac:dyDescent="0.25">
      <c r="B101" s="706"/>
    </row>
    <row r="102" spans="1:11" ht="11.25" customHeight="1" x14ac:dyDescent="0.25">
      <c r="B102" s="706"/>
    </row>
    <row r="103" spans="1:11" ht="11.25" customHeight="1" x14ac:dyDescent="0.25">
      <c r="B103" s="706"/>
    </row>
    <row r="104" spans="1:11" ht="11.25" customHeight="1" x14ac:dyDescent="0.25">
      <c r="B104" s="706"/>
    </row>
    <row r="105" spans="1:11" ht="11.25" customHeight="1" x14ac:dyDescent="0.25">
      <c r="B105" s="706"/>
    </row>
    <row r="106" spans="1:11" ht="11.25" customHeight="1" x14ac:dyDescent="0.25">
      <c r="B106" s="706"/>
    </row>
    <row r="107" spans="1:11" ht="11.25" customHeight="1" x14ac:dyDescent="0.25">
      <c r="B107" s="706"/>
    </row>
    <row r="108" spans="1:11" ht="11.25" customHeight="1" x14ac:dyDescent="0.25">
      <c r="B108" s="706"/>
    </row>
    <row r="109" spans="1:11" ht="11.25" customHeight="1" x14ac:dyDescent="0.25">
      <c r="B109" s="706"/>
    </row>
    <row r="110" spans="1:11" ht="11.25" customHeight="1" x14ac:dyDescent="0.25">
      <c r="B110" s="706"/>
    </row>
    <row r="111" spans="1:11" ht="11.25" customHeight="1" x14ac:dyDescent="0.25">
      <c r="B111" s="706"/>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sheetProtection sheet="1" objects="1" scenarios="1"/>
  <customSheetViews>
    <customSheetView guid="{F50C5479-5CC4-4FD7-8319-543D29E829F0}" scale="150" showGridLines="0" fitToPage="1">
      <pane xSplit="2" ySplit="3" topLeftCell="C103" activePane="bottomRight" state="frozen"/>
      <selection pane="bottomRight" activeCell="C38" sqref="C38"/>
      <pageMargins left="0" right="0" top="0.78740157480314965" bottom="0.59055118110236227" header="0.51181102362204722" footer="0.39370078740157483"/>
      <printOptions horizontalCentered="1"/>
      <pageSetup paperSize="9" scale="73" orientation="portrait" r:id="rId1"/>
      <headerFooter alignWithMargins="0"/>
    </customSheetView>
  </customSheetViews>
  <mergeCells count="4">
    <mergeCell ref="F2:H2"/>
    <mergeCell ref="I2:K2"/>
    <mergeCell ref="A2:A3"/>
    <mergeCell ref="B2:B3"/>
  </mergeCells>
  <phoneticPr fontId="2" type="noConversion"/>
  <dataValidations count="1">
    <dataValidation type="decimal" allowBlank="1" showInputMessage="1" showErrorMessage="1" sqref="C6:K9 C11:K13 C17:K21 C23:K25 C29:K30 C32:K34 C38:K38 C40:K44 C49:K52 C54:K58 C62:K67 C69:K77">
      <formula1>-9999999999999990000</formula1>
      <formula2>99999999999999900000</formula2>
    </dataValidation>
  </dataValidations>
  <printOptions horizontalCentered="1"/>
  <pageMargins left="0" right="0" top="0.78740157480314965" bottom="0.59055118110236227" header="0.51181102362204722" footer="0.39370078740157483"/>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pageSetUpPr fitToPage="1"/>
  </sheetPr>
  <dimension ref="D2:AJ288"/>
  <sheetViews>
    <sheetView showGridLines="0" zoomScaleNormal="100" workbookViewId="0">
      <selection activeCell="N41" sqref="N41"/>
    </sheetView>
  </sheetViews>
  <sheetFormatPr defaultRowHeight="12.75" x14ac:dyDescent="0.2"/>
  <cols>
    <col min="19" max="22" width="9.140625" style="1514"/>
    <col min="23" max="23" width="19.7109375" style="1515" customWidth="1"/>
    <col min="24" max="24" width="9.140625" style="1515" customWidth="1"/>
    <col min="25" max="25" width="9.140625" style="1515"/>
    <col min="26" max="26" width="9.140625" style="1514"/>
    <col min="27" max="27" width="13" style="1514" customWidth="1"/>
    <col min="28" max="28" width="24.85546875" style="1514" customWidth="1"/>
    <col min="29" max="36" width="9.140625" style="1514"/>
  </cols>
  <sheetData>
    <row r="2" spans="4:29" x14ac:dyDescent="0.2">
      <c r="D2">
        <v>2020</v>
      </c>
    </row>
    <row r="4" spans="4:29" x14ac:dyDescent="0.2">
      <c r="X4" s="1516" t="s">
        <v>425</v>
      </c>
    </row>
    <row r="5" spans="4:29" x14ac:dyDescent="0.2">
      <c r="X5" s="1516" t="s">
        <v>822</v>
      </c>
    </row>
    <row r="6" spans="4:29" x14ac:dyDescent="0.2">
      <c r="AB6" s="1520"/>
      <c r="AC6" s="1441"/>
    </row>
    <row r="7" spans="4:29" x14ac:dyDescent="0.2">
      <c r="W7" s="1516" t="s">
        <v>883</v>
      </c>
      <c r="X7" s="1516" t="s">
        <v>263</v>
      </c>
      <c r="AB7" s="1520"/>
      <c r="AC7" s="1443"/>
    </row>
    <row r="8" spans="4:29" x14ac:dyDescent="0.2">
      <c r="X8" s="1516" t="s">
        <v>1791</v>
      </c>
      <c r="AB8" s="1520"/>
      <c r="AC8" s="1441"/>
    </row>
    <row r="9" spans="4:29" x14ac:dyDescent="0.2">
      <c r="AB9" s="1520"/>
      <c r="AC9" s="1441"/>
    </row>
    <row r="10" spans="4:29" x14ac:dyDescent="0.2">
      <c r="AB10" s="1520"/>
      <c r="AC10" s="1441"/>
    </row>
    <row r="11" spans="4:29" x14ac:dyDescent="0.2">
      <c r="AB11" s="1520"/>
      <c r="AC11" s="1441"/>
    </row>
    <row r="12" spans="4:29" x14ac:dyDescent="0.2">
      <c r="AB12" s="1520"/>
      <c r="AC12" s="1441"/>
    </row>
    <row r="13" spans="4:29" x14ac:dyDescent="0.2">
      <c r="AB13" s="1520"/>
      <c r="AC13" s="1443"/>
    </row>
    <row r="14" spans="4:29" x14ac:dyDescent="0.2">
      <c r="AB14" s="1520"/>
      <c r="AC14" s="1441"/>
    </row>
    <row r="15" spans="4:29" x14ac:dyDescent="0.2">
      <c r="AB15" s="1520"/>
      <c r="AC15" s="1434"/>
    </row>
    <row r="16" spans="4:29" x14ac:dyDescent="0.2">
      <c r="AB16" s="1520"/>
      <c r="AC16" s="1434"/>
    </row>
    <row r="17" spans="23:29" x14ac:dyDescent="0.2">
      <c r="W17" s="1516" t="s">
        <v>882</v>
      </c>
      <c r="X17" s="1516">
        <v>2008</v>
      </c>
      <c r="AB17" s="1520"/>
      <c r="AC17" s="1434"/>
    </row>
    <row r="18" spans="23:29" x14ac:dyDescent="0.2">
      <c r="X18" s="1516">
        <v>2009</v>
      </c>
      <c r="AB18" s="1520"/>
      <c r="AC18" s="1434"/>
    </row>
    <row r="19" spans="23:29" x14ac:dyDescent="0.2">
      <c r="X19" s="1516">
        <v>2010</v>
      </c>
      <c r="AB19" s="1520"/>
      <c r="AC19" s="1434"/>
    </row>
    <row r="20" spans="23:29" x14ac:dyDescent="0.2">
      <c r="X20" s="1516">
        <v>2011</v>
      </c>
      <c r="AB20" s="1520"/>
      <c r="AC20" s="1434"/>
    </row>
    <row r="21" spans="23:29" x14ac:dyDescent="0.2">
      <c r="X21" s="1516">
        <v>2012</v>
      </c>
      <c r="AB21" s="1520"/>
      <c r="AC21" s="1434"/>
    </row>
    <row r="22" spans="23:29" x14ac:dyDescent="0.2">
      <c r="X22" s="1516">
        <v>2013</v>
      </c>
      <c r="AB22" s="1520"/>
      <c r="AC22" s="1434"/>
    </row>
    <row r="23" spans="23:29" x14ac:dyDescent="0.2">
      <c r="X23" s="1516">
        <v>2014</v>
      </c>
      <c r="AB23" s="1520"/>
      <c r="AC23" s="1434"/>
    </row>
    <row r="24" spans="23:29" x14ac:dyDescent="0.2">
      <c r="X24" s="1516">
        <v>2015</v>
      </c>
      <c r="AB24" s="1520"/>
      <c r="AC24" s="1434"/>
    </row>
    <row r="25" spans="23:29" x14ac:dyDescent="0.2">
      <c r="X25" s="1516">
        <v>2016</v>
      </c>
      <c r="AB25" s="1520"/>
      <c r="AC25" s="1434"/>
    </row>
    <row r="26" spans="23:29" x14ac:dyDescent="0.2">
      <c r="X26" s="1516">
        <v>2017</v>
      </c>
      <c r="AB26" s="1520"/>
      <c r="AC26" s="1434"/>
    </row>
    <row r="27" spans="23:29" x14ac:dyDescent="0.2">
      <c r="X27" s="1516">
        <v>2018</v>
      </c>
      <c r="AB27" s="1520"/>
      <c r="AC27" s="1434"/>
    </row>
    <row r="28" spans="23:29" x14ac:dyDescent="0.2">
      <c r="X28" s="1516">
        <v>2019</v>
      </c>
      <c r="AB28" s="1520"/>
      <c r="AC28" s="1434"/>
    </row>
    <row r="29" spans="23:29" x14ac:dyDescent="0.2">
      <c r="X29" s="1516">
        <v>2020</v>
      </c>
      <c r="AB29" s="1520"/>
      <c r="AC29" s="1434"/>
    </row>
    <row r="30" spans="23:29" x14ac:dyDescent="0.2">
      <c r="X30" s="1516">
        <v>2021</v>
      </c>
      <c r="AB30" s="1520"/>
      <c r="AC30" s="1434"/>
    </row>
    <row r="31" spans="23:29" x14ac:dyDescent="0.2">
      <c r="X31" s="1516">
        <v>2022</v>
      </c>
      <c r="AB31" s="1520"/>
      <c r="AC31" s="1434"/>
    </row>
    <row r="32" spans="23:29" x14ac:dyDescent="0.2">
      <c r="AB32" s="1520"/>
      <c r="AC32" s="1434"/>
    </row>
    <row r="33" spans="15:29" x14ac:dyDescent="0.2">
      <c r="W33" s="1516" t="s">
        <v>1792</v>
      </c>
      <c r="X33" s="1515">
        <v>8</v>
      </c>
      <c r="AB33" s="1520"/>
      <c r="AC33" s="1440"/>
    </row>
    <row r="34" spans="15:29" x14ac:dyDescent="0.2">
      <c r="W34" s="1516" t="s">
        <v>1790</v>
      </c>
      <c r="X34" s="1517">
        <f>INDEX(X17:X31,X33,1)</f>
        <v>2015</v>
      </c>
      <c r="AB34" s="1520"/>
      <c r="AC34" s="1447"/>
    </row>
    <row r="35" spans="15:29" x14ac:dyDescent="0.2">
      <c r="AB35" s="1520"/>
      <c r="AC35" s="1447"/>
    </row>
    <row r="36" spans="15:29" x14ac:dyDescent="0.2">
      <c r="W36" s="1516" t="s">
        <v>1793</v>
      </c>
      <c r="X36" s="1518" t="str">
        <f>MTREF&amp;"/"&amp;RIGHT(MTREF,2)+1</f>
        <v>2015/16</v>
      </c>
      <c r="AB36" s="1520"/>
      <c r="AC36" s="1434"/>
    </row>
    <row r="37" spans="15:29" x14ac:dyDescent="0.2">
      <c r="O37" s="2086"/>
      <c r="AB37" s="1520"/>
      <c r="AC37" s="1434"/>
    </row>
    <row r="38" spans="15:29" x14ac:dyDescent="0.2">
      <c r="O38" s="2086"/>
      <c r="AB38" s="1520"/>
      <c r="AC38" s="1434"/>
    </row>
    <row r="39" spans="15:29" x14ac:dyDescent="0.2">
      <c r="O39" s="2086"/>
      <c r="AB39" s="1520"/>
      <c r="AC39" s="1434"/>
    </row>
    <row r="40" spans="15:29" x14ac:dyDescent="0.2">
      <c r="O40" s="2087"/>
      <c r="AB40" s="1520"/>
      <c r="AC40" s="1434"/>
    </row>
    <row r="41" spans="15:29" x14ac:dyDescent="0.2">
      <c r="AB41" s="1520"/>
      <c r="AC41" s="1434"/>
    </row>
    <row r="42" spans="15:29" x14ac:dyDescent="0.2">
      <c r="AB42" s="1520"/>
      <c r="AC42" s="1434"/>
    </row>
    <row r="43" spans="15:29" x14ac:dyDescent="0.2">
      <c r="AB43" s="1520"/>
      <c r="AC43" s="1434"/>
    </row>
    <row r="44" spans="15:29" x14ac:dyDescent="0.2">
      <c r="AB44" s="1520"/>
      <c r="AC44" s="1434"/>
    </row>
    <row r="45" spans="15:29" x14ac:dyDescent="0.2">
      <c r="AB45" s="1520"/>
      <c r="AC45" s="1434"/>
    </row>
    <row r="46" spans="15:29" x14ac:dyDescent="0.2">
      <c r="AB46" s="1520"/>
      <c r="AC46" s="1434"/>
    </row>
    <row r="47" spans="15:29" x14ac:dyDescent="0.2">
      <c r="AB47" s="1520"/>
      <c r="AC47" s="1434"/>
    </row>
    <row r="48" spans="15:29" x14ac:dyDescent="0.2">
      <c r="AB48" s="1520"/>
      <c r="AC48" s="1434"/>
    </row>
    <row r="49" spans="28:29" x14ac:dyDescent="0.2">
      <c r="AB49" s="1520"/>
      <c r="AC49" s="1434"/>
    </row>
    <row r="50" spans="28:29" x14ac:dyDescent="0.2">
      <c r="AB50" s="1520"/>
      <c r="AC50" s="1434"/>
    </row>
    <row r="51" spans="28:29" x14ac:dyDescent="0.2">
      <c r="AB51" s="1520"/>
      <c r="AC51" s="1434"/>
    </row>
    <row r="52" spans="28:29" x14ac:dyDescent="0.2">
      <c r="AB52" s="1520"/>
      <c r="AC52" s="1434"/>
    </row>
    <row r="53" spans="28:29" x14ac:dyDescent="0.2">
      <c r="AB53" s="1520"/>
      <c r="AC53" s="1434"/>
    </row>
    <row r="54" spans="28:29" x14ac:dyDescent="0.2">
      <c r="AB54" s="1520"/>
      <c r="AC54" s="1434"/>
    </row>
    <row r="55" spans="28:29" x14ac:dyDescent="0.2">
      <c r="AB55" s="1520"/>
      <c r="AC55" s="1434"/>
    </row>
    <row r="56" spans="28:29" x14ac:dyDescent="0.2">
      <c r="AB56" s="1520"/>
      <c r="AC56" s="1434"/>
    </row>
    <row r="57" spans="28:29" x14ac:dyDescent="0.2">
      <c r="AB57" s="1520"/>
      <c r="AC57" s="1434"/>
    </row>
    <row r="58" spans="28:29" x14ac:dyDescent="0.2">
      <c r="AB58" s="1520"/>
      <c r="AC58" s="1434"/>
    </row>
    <row r="59" spans="28:29" x14ac:dyDescent="0.2">
      <c r="AB59" s="1520"/>
      <c r="AC59" s="1434"/>
    </row>
    <row r="60" spans="28:29" x14ac:dyDescent="0.2">
      <c r="AB60" s="1520"/>
      <c r="AC60" s="1434"/>
    </row>
    <row r="61" spans="28:29" x14ac:dyDescent="0.2">
      <c r="AB61" s="1520"/>
      <c r="AC61" s="1434"/>
    </row>
    <row r="62" spans="28:29" x14ac:dyDescent="0.2">
      <c r="AB62" s="1520"/>
      <c r="AC62" s="1434"/>
    </row>
    <row r="63" spans="28:29" x14ac:dyDescent="0.2">
      <c r="AB63" s="1520"/>
      <c r="AC63" s="1434"/>
    </row>
    <row r="64" spans="28:29" x14ac:dyDescent="0.2">
      <c r="AB64" s="1520"/>
      <c r="AC64" s="1434"/>
    </row>
    <row r="65" spans="28:29" x14ac:dyDescent="0.2">
      <c r="AB65" s="1520"/>
      <c r="AC65" s="1434"/>
    </row>
    <row r="66" spans="28:29" x14ac:dyDescent="0.2">
      <c r="AB66" s="1520"/>
      <c r="AC66" s="1434"/>
    </row>
    <row r="67" spans="28:29" x14ac:dyDescent="0.2">
      <c r="AB67" s="1520"/>
      <c r="AC67" s="1434"/>
    </row>
    <row r="68" spans="28:29" x14ac:dyDescent="0.2">
      <c r="AB68" s="1520"/>
      <c r="AC68" s="1434"/>
    </row>
    <row r="69" spans="28:29" x14ac:dyDescent="0.2">
      <c r="AB69" s="1520"/>
      <c r="AC69" s="1434"/>
    </row>
    <row r="70" spans="28:29" x14ac:dyDescent="0.2">
      <c r="AB70" s="1520"/>
      <c r="AC70" s="1434"/>
    </row>
    <row r="71" spans="28:29" x14ac:dyDescent="0.2">
      <c r="AB71" s="1520"/>
      <c r="AC71" s="1434"/>
    </row>
    <row r="72" spans="28:29" x14ac:dyDescent="0.2">
      <c r="AB72" s="1520"/>
      <c r="AC72" s="1434"/>
    </row>
    <row r="73" spans="28:29" x14ac:dyDescent="0.2">
      <c r="AB73" s="1520"/>
      <c r="AC73" s="1434"/>
    </row>
    <row r="74" spans="28:29" x14ac:dyDescent="0.2">
      <c r="AB74" s="1520"/>
      <c r="AC74" s="1434"/>
    </row>
    <row r="75" spans="28:29" x14ac:dyDescent="0.2">
      <c r="AB75" s="1520"/>
      <c r="AC75" s="1434"/>
    </row>
    <row r="76" spans="28:29" x14ac:dyDescent="0.2">
      <c r="AB76" s="1520"/>
      <c r="AC76" s="1434"/>
    </row>
    <row r="77" spans="28:29" x14ac:dyDescent="0.2">
      <c r="AB77" s="1520"/>
      <c r="AC77" s="1434"/>
    </row>
    <row r="78" spans="28:29" x14ac:dyDescent="0.2">
      <c r="AB78" s="1520"/>
      <c r="AC78" s="1434"/>
    </row>
    <row r="79" spans="28:29" x14ac:dyDescent="0.2">
      <c r="AB79" s="1520"/>
      <c r="AC79" s="1434"/>
    </row>
    <row r="80" spans="28:29" x14ac:dyDescent="0.2">
      <c r="AB80" s="1520"/>
      <c r="AC80" s="1434"/>
    </row>
    <row r="81" spans="28:29" x14ac:dyDescent="0.2">
      <c r="AB81" s="1520"/>
      <c r="AC81" s="1434"/>
    </row>
    <row r="82" spans="28:29" x14ac:dyDescent="0.2">
      <c r="AB82" s="1520"/>
      <c r="AC82" s="1434"/>
    </row>
    <row r="83" spans="28:29" x14ac:dyDescent="0.2">
      <c r="AB83" s="1520"/>
      <c r="AC83" s="1434"/>
    </row>
    <row r="84" spans="28:29" x14ac:dyDescent="0.2">
      <c r="AB84" s="1520"/>
      <c r="AC84" s="1434"/>
    </row>
    <row r="85" spans="28:29" x14ac:dyDescent="0.2">
      <c r="AB85" s="1520"/>
      <c r="AC85" s="1434"/>
    </row>
    <row r="86" spans="28:29" x14ac:dyDescent="0.2">
      <c r="AB86" s="1520"/>
      <c r="AC86" s="1434"/>
    </row>
    <row r="87" spans="28:29" x14ac:dyDescent="0.2">
      <c r="AB87" s="1520"/>
      <c r="AC87" s="1434"/>
    </row>
    <row r="88" spans="28:29" x14ac:dyDescent="0.2">
      <c r="AB88" s="1520"/>
      <c r="AC88" s="1434"/>
    </row>
    <row r="89" spans="28:29" x14ac:dyDescent="0.2">
      <c r="AB89" s="1520"/>
      <c r="AC89" s="1434"/>
    </row>
    <row r="90" spans="28:29" x14ac:dyDescent="0.2">
      <c r="AB90" s="1520"/>
      <c r="AC90" s="1434"/>
    </row>
    <row r="91" spans="28:29" x14ac:dyDescent="0.2">
      <c r="AB91" s="1520"/>
      <c r="AC91" s="1434"/>
    </row>
    <row r="92" spans="28:29" x14ac:dyDescent="0.2">
      <c r="AB92" s="1520"/>
      <c r="AC92" s="1434"/>
    </row>
    <row r="93" spans="28:29" x14ac:dyDescent="0.2">
      <c r="AB93" s="1520"/>
      <c r="AC93" s="1434"/>
    </row>
    <row r="94" spans="28:29" x14ac:dyDescent="0.2">
      <c r="AB94" s="1520"/>
      <c r="AC94" s="1434"/>
    </row>
    <row r="95" spans="28:29" x14ac:dyDescent="0.2">
      <c r="AB95" s="1520"/>
      <c r="AC95" s="1434"/>
    </row>
    <row r="96" spans="28:29" x14ac:dyDescent="0.2">
      <c r="AB96" s="1520"/>
      <c r="AC96" s="1434"/>
    </row>
    <row r="97" spans="28:29" x14ac:dyDescent="0.2">
      <c r="AB97" s="1520"/>
      <c r="AC97" s="1434"/>
    </row>
    <row r="98" spans="28:29" x14ac:dyDescent="0.2">
      <c r="AB98" s="1520"/>
      <c r="AC98" s="1434"/>
    </row>
    <row r="99" spans="28:29" x14ac:dyDescent="0.2">
      <c r="AB99" s="1520"/>
      <c r="AC99" s="1434"/>
    </row>
    <row r="100" spans="28:29" x14ac:dyDescent="0.2">
      <c r="AB100" s="1520"/>
      <c r="AC100" s="1434"/>
    </row>
    <row r="101" spans="28:29" x14ac:dyDescent="0.2">
      <c r="AB101" s="1520"/>
      <c r="AC101" s="1434"/>
    </row>
    <row r="102" spans="28:29" x14ac:dyDescent="0.2">
      <c r="AB102" s="1520"/>
      <c r="AC102" s="1434"/>
    </row>
    <row r="103" spans="28:29" x14ac:dyDescent="0.2">
      <c r="AB103" s="1520"/>
      <c r="AC103" s="1434"/>
    </row>
    <row r="104" spans="28:29" x14ac:dyDescent="0.2">
      <c r="AB104" s="1520"/>
      <c r="AC104" s="1434"/>
    </row>
    <row r="105" spans="28:29" x14ac:dyDescent="0.2">
      <c r="AB105" s="1520"/>
      <c r="AC105" s="1434"/>
    </row>
    <row r="106" spans="28:29" x14ac:dyDescent="0.2">
      <c r="AB106" s="1520"/>
      <c r="AC106" s="1434"/>
    </row>
    <row r="107" spans="28:29" x14ac:dyDescent="0.2">
      <c r="AB107" s="1520"/>
      <c r="AC107" s="1434"/>
    </row>
    <row r="108" spans="28:29" x14ac:dyDescent="0.2">
      <c r="AB108" s="1520"/>
      <c r="AC108" s="1434"/>
    </row>
    <row r="109" spans="28:29" x14ac:dyDescent="0.2">
      <c r="AB109" s="1520"/>
      <c r="AC109" s="1434"/>
    </row>
    <row r="110" spans="28:29" x14ac:dyDescent="0.2">
      <c r="AB110" s="1520"/>
      <c r="AC110" s="1434"/>
    </row>
    <row r="111" spans="28:29" x14ac:dyDescent="0.2">
      <c r="AB111" s="1520"/>
      <c r="AC111" s="1434"/>
    </row>
    <row r="112" spans="28:29" x14ac:dyDescent="0.2">
      <c r="AB112" s="1520"/>
      <c r="AC112" s="1434"/>
    </row>
    <row r="113" spans="28:29" x14ac:dyDescent="0.2">
      <c r="AB113" s="1520"/>
      <c r="AC113" s="1434"/>
    </row>
    <row r="114" spans="28:29" x14ac:dyDescent="0.2">
      <c r="AB114" s="1520"/>
      <c r="AC114" s="1434"/>
    </row>
    <row r="115" spans="28:29" x14ac:dyDescent="0.2">
      <c r="AB115" s="1520"/>
      <c r="AC115" s="1434"/>
    </row>
    <row r="116" spans="28:29" x14ac:dyDescent="0.2">
      <c r="AB116" s="1520"/>
      <c r="AC116" s="1434"/>
    </row>
    <row r="117" spans="28:29" x14ac:dyDescent="0.2">
      <c r="AB117" s="1520"/>
      <c r="AC117" s="1434"/>
    </row>
    <row r="118" spans="28:29" x14ac:dyDescent="0.2">
      <c r="AB118" s="1520"/>
      <c r="AC118" s="1434"/>
    </row>
    <row r="119" spans="28:29" x14ac:dyDescent="0.2">
      <c r="AB119" s="1520"/>
      <c r="AC119" s="1434"/>
    </row>
    <row r="120" spans="28:29" x14ac:dyDescent="0.2">
      <c r="AB120" s="1520"/>
      <c r="AC120" s="1434"/>
    </row>
    <row r="121" spans="28:29" x14ac:dyDescent="0.2">
      <c r="AB121" s="1520"/>
      <c r="AC121" s="1434"/>
    </row>
    <row r="122" spans="28:29" x14ac:dyDescent="0.2">
      <c r="AB122" s="1520"/>
      <c r="AC122" s="1434"/>
    </row>
    <row r="123" spans="28:29" x14ac:dyDescent="0.2">
      <c r="AB123" s="1520"/>
      <c r="AC123" s="1434"/>
    </row>
    <row r="124" spans="28:29" x14ac:dyDescent="0.2">
      <c r="AB124" s="1520"/>
      <c r="AC124" s="1434"/>
    </row>
    <row r="125" spans="28:29" x14ac:dyDescent="0.2">
      <c r="AB125" s="1520"/>
      <c r="AC125" s="1434"/>
    </row>
    <row r="126" spans="28:29" x14ac:dyDescent="0.2">
      <c r="AB126" s="1520"/>
      <c r="AC126" s="1434"/>
    </row>
    <row r="127" spans="28:29" x14ac:dyDescent="0.2">
      <c r="AB127" s="1520"/>
      <c r="AC127" s="1434"/>
    </row>
    <row r="128" spans="28:29" x14ac:dyDescent="0.2">
      <c r="AB128" s="1520"/>
      <c r="AC128" s="1434"/>
    </row>
    <row r="129" spans="28:29" x14ac:dyDescent="0.2">
      <c r="AB129" s="1520"/>
      <c r="AC129" s="1434"/>
    </row>
    <row r="130" spans="28:29" x14ac:dyDescent="0.2">
      <c r="AB130" s="1520"/>
      <c r="AC130" s="1434"/>
    </row>
    <row r="131" spans="28:29" x14ac:dyDescent="0.2">
      <c r="AB131" s="1520"/>
      <c r="AC131" s="1434"/>
    </row>
    <row r="132" spans="28:29" x14ac:dyDescent="0.2">
      <c r="AB132" s="1520"/>
      <c r="AC132" s="1434"/>
    </row>
    <row r="133" spans="28:29" x14ac:dyDescent="0.2">
      <c r="AB133" s="1520"/>
      <c r="AC133" s="1434"/>
    </row>
    <row r="134" spans="28:29" x14ac:dyDescent="0.2">
      <c r="AB134" s="1520"/>
      <c r="AC134" s="1434"/>
    </row>
    <row r="135" spans="28:29" x14ac:dyDescent="0.2">
      <c r="AB135" s="1520"/>
      <c r="AC135" s="1434"/>
    </row>
    <row r="136" spans="28:29" x14ac:dyDescent="0.2">
      <c r="AB136" s="1520"/>
      <c r="AC136" s="1434"/>
    </row>
    <row r="137" spans="28:29" x14ac:dyDescent="0.2">
      <c r="AB137" s="1520"/>
      <c r="AC137" s="1434"/>
    </row>
    <row r="138" spans="28:29" x14ac:dyDescent="0.2">
      <c r="AB138" s="1520"/>
      <c r="AC138" s="1434"/>
    </row>
    <row r="139" spans="28:29" x14ac:dyDescent="0.2">
      <c r="AB139" s="1520"/>
      <c r="AC139" s="1434"/>
    </row>
    <row r="140" spans="28:29" x14ac:dyDescent="0.2">
      <c r="AB140" s="1520"/>
      <c r="AC140" s="1434"/>
    </row>
    <row r="141" spans="28:29" x14ac:dyDescent="0.2">
      <c r="AB141" s="1520"/>
      <c r="AC141" s="1434"/>
    </row>
    <row r="142" spans="28:29" x14ac:dyDescent="0.2">
      <c r="AB142" s="1520"/>
      <c r="AC142" s="1434"/>
    </row>
    <row r="143" spans="28:29" x14ac:dyDescent="0.2">
      <c r="AB143" s="1520"/>
      <c r="AC143" s="1434"/>
    </row>
    <row r="144" spans="28:29" x14ac:dyDescent="0.2">
      <c r="AB144" s="1520"/>
      <c r="AC144" s="1434"/>
    </row>
    <row r="145" spans="28:29" x14ac:dyDescent="0.2">
      <c r="AB145" s="1520"/>
      <c r="AC145" s="1434"/>
    </row>
    <row r="146" spans="28:29" x14ac:dyDescent="0.2">
      <c r="AB146" s="1520"/>
      <c r="AC146" s="1434"/>
    </row>
    <row r="147" spans="28:29" x14ac:dyDescent="0.2">
      <c r="AB147" s="1520"/>
      <c r="AC147" s="1434"/>
    </row>
    <row r="148" spans="28:29" x14ac:dyDescent="0.2">
      <c r="AB148" s="1520"/>
      <c r="AC148" s="1434"/>
    </row>
    <row r="149" spans="28:29" x14ac:dyDescent="0.2">
      <c r="AB149" s="1520"/>
      <c r="AC149" s="1434"/>
    </row>
    <row r="150" spans="28:29" x14ac:dyDescent="0.2">
      <c r="AB150" s="1520"/>
      <c r="AC150" s="1434"/>
    </row>
    <row r="151" spans="28:29" x14ac:dyDescent="0.2">
      <c r="AB151" s="1520"/>
      <c r="AC151" s="1434"/>
    </row>
    <row r="152" spans="28:29" x14ac:dyDescent="0.2">
      <c r="AB152" s="1520"/>
      <c r="AC152" s="1434"/>
    </row>
    <row r="153" spans="28:29" x14ac:dyDescent="0.2">
      <c r="AB153" s="1520"/>
      <c r="AC153" s="1434"/>
    </row>
    <row r="154" spans="28:29" x14ac:dyDescent="0.2">
      <c r="AB154" s="1520"/>
      <c r="AC154" s="1434"/>
    </row>
    <row r="155" spans="28:29" x14ac:dyDescent="0.2">
      <c r="AB155" s="1520"/>
      <c r="AC155" s="1434"/>
    </row>
    <row r="156" spans="28:29" x14ac:dyDescent="0.2">
      <c r="AB156" s="1520"/>
      <c r="AC156" s="1434"/>
    </row>
    <row r="157" spans="28:29" x14ac:dyDescent="0.2">
      <c r="AB157" s="1520"/>
      <c r="AC157" s="1434"/>
    </row>
    <row r="158" spans="28:29" x14ac:dyDescent="0.2">
      <c r="AB158" s="1520"/>
      <c r="AC158" s="1434"/>
    </row>
    <row r="159" spans="28:29" x14ac:dyDescent="0.2">
      <c r="AB159" s="1520"/>
      <c r="AC159" s="1434"/>
    </row>
    <row r="160" spans="28:29" x14ac:dyDescent="0.2">
      <c r="AB160" s="1520"/>
      <c r="AC160" s="1434"/>
    </row>
    <row r="161" spans="28:29" x14ac:dyDescent="0.2">
      <c r="AB161" s="1520"/>
      <c r="AC161" s="1434"/>
    </row>
    <row r="162" spans="28:29" x14ac:dyDescent="0.2">
      <c r="AB162" s="1520"/>
      <c r="AC162" s="1434"/>
    </row>
    <row r="163" spans="28:29" x14ac:dyDescent="0.2">
      <c r="AB163" s="1520"/>
      <c r="AC163" s="1434"/>
    </row>
    <row r="164" spans="28:29" x14ac:dyDescent="0.2">
      <c r="AB164" s="1520"/>
      <c r="AC164" s="1434"/>
    </row>
    <row r="165" spans="28:29" x14ac:dyDescent="0.2">
      <c r="AB165" s="1520"/>
      <c r="AC165" s="1434"/>
    </row>
    <row r="166" spans="28:29" x14ac:dyDescent="0.2">
      <c r="AB166" s="1520"/>
      <c r="AC166" s="1434"/>
    </row>
    <row r="167" spans="28:29" x14ac:dyDescent="0.2">
      <c r="AB167" s="1520"/>
      <c r="AC167" s="1434"/>
    </row>
    <row r="168" spans="28:29" x14ac:dyDescent="0.2">
      <c r="AB168" s="1520"/>
      <c r="AC168" s="1434"/>
    </row>
    <row r="169" spans="28:29" x14ac:dyDescent="0.2">
      <c r="AB169" s="1520"/>
      <c r="AC169" s="1434"/>
    </row>
    <row r="170" spans="28:29" x14ac:dyDescent="0.2">
      <c r="AB170" s="1520"/>
      <c r="AC170" s="1434"/>
    </row>
    <row r="171" spans="28:29" x14ac:dyDescent="0.2">
      <c r="AB171" s="1520"/>
      <c r="AC171" s="1434"/>
    </row>
    <row r="172" spans="28:29" x14ac:dyDescent="0.2">
      <c r="AB172" s="1520"/>
      <c r="AC172" s="1434"/>
    </row>
    <row r="173" spans="28:29" x14ac:dyDescent="0.2">
      <c r="AB173" s="1520"/>
      <c r="AC173" s="1434"/>
    </row>
    <row r="174" spans="28:29" x14ac:dyDescent="0.2">
      <c r="AB174" s="1520"/>
      <c r="AC174" s="1434"/>
    </row>
    <row r="175" spans="28:29" x14ac:dyDescent="0.2">
      <c r="AB175" s="1520"/>
      <c r="AC175" s="1434"/>
    </row>
    <row r="176" spans="28:29" x14ac:dyDescent="0.2">
      <c r="AB176" s="1520"/>
      <c r="AC176" s="1434"/>
    </row>
    <row r="177" spans="28:29" x14ac:dyDescent="0.2">
      <c r="AB177" s="1520"/>
      <c r="AC177" s="1434"/>
    </row>
    <row r="178" spans="28:29" x14ac:dyDescent="0.2">
      <c r="AB178" s="1520"/>
      <c r="AC178" s="1434"/>
    </row>
    <row r="179" spans="28:29" x14ac:dyDescent="0.2">
      <c r="AB179" s="1520"/>
      <c r="AC179" s="1434"/>
    </row>
    <row r="180" spans="28:29" x14ac:dyDescent="0.2">
      <c r="AB180" s="1520"/>
      <c r="AC180" s="1434"/>
    </row>
    <row r="181" spans="28:29" x14ac:dyDescent="0.2">
      <c r="AB181" s="1520"/>
      <c r="AC181" s="1434"/>
    </row>
    <row r="182" spans="28:29" x14ac:dyDescent="0.2">
      <c r="AB182" s="1520"/>
      <c r="AC182" s="1434"/>
    </row>
    <row r="183" spans="28:29" x14ac:dyDescent="0.2">
      <c r="AB183" s="1520"/>
      <c r="AC183" s="1434"/>
    </row>
    <row r="184" spans="28:29" x14ac:dyDescent="0.2">
      <c r="AB184" s="1520"/>
      <c r="AC184" s="1434"/>
    </row>
    <row r="185" spans="28:29" x14ac:dyDescent="0.2">
      <c r="AB185" s="1520"/>
      <c r="AC185" s="1434"/>
    </row>
    <row r="186" spans="28:29" x14ac:dyDescent="0.2">
      <c r="AB186" s="1520"/>
      <c r="AC186" s="1434"/>
    </row>
    <row r="187" spans="28:29" x14ac:dyDescent="0.2">
      <c r="AB187" s="1520"/>
      <c r="AC187" s="1434"/>
    </row>
    <row r="188" spans="28:29" x14ac:dyDescent="0.2">
      <c r="AB188" s="1520"/>
      <c r="AC188" s="1434"/>
    </row>
    <row r="189" spans="28:29" x14ac:dyDescent="0.2">
      <c r="AB189" s="1520"/>
      <c r="AC189" s="1434"/>
    </row>
    <row r="190" spans="28:29" x14ac:dyDescent="0.2">
      <c r="AB190" s="1520"/>
      <c r="AC190" s="1434"/>
    </row>
    <row r="191" spans="28:29" x14ac:dyDescent="0.2">
      <c r="AB191" s="1520"/>
      <c r="AC191" s="1434"/>
    </row>
    <row r="192" spans="28:29" x14ac:dyDescent="0.2">
      <c r="AB192" s="1520"/>
      <c r="AC192" s="1434"/>
    </row>
    <row r="193" spans="28:29" x14ac:dyDescent="0.2">
      <c r="AB193" s="1520"/>
      <c r="AC193" s="1434"/>
    </row>
    <row r="194" spans="28:29" x14ac:dyDescent="0.2">
      <c r="AB194" s="1520"/>
      <c r="AC194" s="1434"/>
    </row>
    <row r="195" spans="28:29" x14ac:dyDescent="0.2">
      <c r="AB195" s="1520"/>
      <c r="AC195" s="1434"/>
    </row>
    <row r="196" spans="28:29" x14ac:dyDescent="0.2">
      <c r="AB196" s="1520"/>
      <c r="AC196" s="1434"/>
    </row>
    <row r="197" spans="28:29" x14ac:dyDescent="0.2">
      <c r="AB197" s="1520"/>
      <c r="AC197" s="1434"/>
    </row>
    <row r="198" spans="28:29" x14ac:dyDescent="0.2">
      <c r="AB198" s="1520"/>
      <c r="AC198" s="1434"/>
    </row>
    <row r="199" spans="28:29" x14ac:dyDescent="0.2">
      <c r="AB199" s="1520"/>
      <c r="AC199" s="1434"/>
    </row>
    <row r="200" spans="28:29" x14ac:dyDescent="0.2">
      <c r="AB200" s="1520"/>
      <c r="AC200" s="1434"/>
    </row>
    <row r="201" spans="28:29" x14ac:dyDescent="0.2">
      <c r="AB201" s="1520"/>
      <c r="AC201" s="1434"/>
    </row>
    <row r="202" spans="28:29" x14ac:dyDescent="0.2">
      <c r="AB202" s="1520"/>
      <c r="AC202" s="1434"/>
    </row>
    <row r="203" spans="28:29" x14ac:dyDescent="0.2">
      <c r="AB203" s="1520"/>
      <c r="AC203" s="1434"/>
    </row>
    <row r="204" spans="28:29" x14ac:dyDescent="0.2">
      <c r="AB204" s="1520"/>
      <c r="AC204" s="1434"/>
    </row>
    <row r="205" spans="28:29" x14ac:dyDescent="0.2">
      <c r="AB205" s="1520"/>
      <c r="AC205" s="1434"/>
    </row>
    <row r="206" spans="28:29" x14ac:dyDescent="0.2">
      <c r="AB206" s="1520"/>
      <c r="AC206" s="1434"/>
    </row>
    <row r="207" spans="28:29" x14ac:dyDescent="0.2">
      <c r="AB207" s="1520"/>
      <c r="AC207" s="1434"/>
    </row>
    <row r="208" spans="28:29" x14ac:dyDescent="0.2">
      <c r="AB208" s="1520"/>
      <c r="AC208" s="1434"/>
    </row>
    <row r="209" spans="28:29" x14ac:dyDescent="0.2">
      <c r="AB209" s="1520"/>
      <c r="AC209" s="1434"/>
    </row>
    <row r="210" spans="28:29" x14ac:dyDescent="0.2">
      <c r="AB210" s="1520"/>
      <c r="AC210" s="1434"/>
    </row>
    <row r="211" spans="28:29" x14ac:dyDescent="0.2">
      <c r="AB211" s="1520"/>
      <c r="AC211" s="1434"/>
    </row>
    <row r="212" spans="28:29" x14ac:dyDescent="0.2">
      <c r="AB212" s="1520"/>
      <c r="AC212" s="1434"/>
    </row>
    <row r="213" spans="28:29" x14ac:dyDescent="0.2">
      <c r="AB213" s="1520"/>
      <c r="AC213" s="1434"/>
    </row>
    <row r="214" spans="28:29" x14ac:dyDescent="0.2">
      <c r="AB214" s="1520"/>
      <c r="AC214" s="1434"/>
    </row>
    <row r="215" spans="28:29" x14ac:dyDescent="0.2">
      <c r="AB215" s="1520"/>
      <c r="AC215" s="1434"/>
    </row>
    <row r="216" spans="28:29" x14ac:dyDescent="0.2">
      <c r="AB216" s="1520"/>
      <c r="AC216" s="1434"/>
    </row>
    <row r="217" spans="28:29" x14ac:dyDescent="0.2">
      <c r="AB217" s="1520"/>
      <c r="AC217" s="1434"/>
    </row>
    <row r="218" spans="28:29" x14ac:dyDescent="0.2">
      <c r="AB218" s="1520"/>
      <c r="AC218" s="1434"/>
    </row>
    <row r="219" spans="28:29" x14ac:dyDescent="0.2">
      <c r="AB219" s="1520"/>
      <c r="AC219" s="1434"/>
    </row>
    <row r="220" spans="28:29" x14ac:dyDescent="0.2">
      <c r="AB220" s="1520"/>
      <c r="AC220" s="1434"/>
    </row>
    <row r="221" spans="28:29" x14ac:dyDescent="0.2">
      <c r="AB221" s="1520"/>
      <c r="AC221" s="1434"/>
    </row>
    <row r="222" spans="28:29" x14ac:dyDescent="0.2">
      <c r="AB222" s="1520"/>
      <c r="AC222" s="1434"/>
    </row>
    <row r="223" spans="28:29" x14ac:dyDescent="0.2">
      <c r="AB223" s="1520"/>
      <c r="AC223" s="1434"/>
    </row>
    <row r="224" spans="28:29" x14ac:dyDescent="0.2">
      <c r="AB224" s="1520"/>
      <c r="AC224" s="1434"/>
    </row>
    <row r="225" spans="28:29" x14ac:dyDescent="0.2">
      <c r="AB225" s="1520"/>
      <c r="AC225" s="1434"/>
    </row>
    <row r="226" spans="28:29" x14ac:dyDescent="0.2">
      <c r="AB226" s="1520"/>
      <c r="AC226" s="1434"/>
    </row>
    <row r="227" spans="28:29" x14ac:dyDescent="0.2">
      <c r="AB227" s="1520"/>
      <c r="AC227" s="1434"/>
    </row>
    <row r="228" spans="28:29" x14ac:dyDescent="0.2">
      <c r="AB228" s="1520"/>
      <c r="AC228" s="1434"/>
    </row>
    <row r="229" spans="28:29" x14ac:dyDescent="0.2">
      <c r="AB229" s="1520"/>
      <c r="AC229" s="1434"/>
    </row>
    <row r="230" spans="28:29" x14ac:dyDescent="0.2">
      <c r="AB230" s="1520"/>
      <c r="AC230" s="1434"/>
    </row>
    <row r="231" spans="28:29" x14ac:dyDescent="0.2">
      <c r="AB231" s="1520"/>
      <c r="AC231" s="1434"/>
    </row>
    <row r="232" spans="28:29" x14ac:dyDescent="0.2">
      <c r="AB232" s="1520"/>
      <c r="AC232" s="1434"/>
    </row>
    <row r="233" spans="28:29" x14ac:dyDescent="0.2">
      <c r="AB233" s="1520"/>
      <c r="AC233" s="1434"/>
    </row>
    <row r="234" spans="28:29" x14ac:dyDescent="0.2">
      <c r="AB234" s="1520"/>
      <c r="AC234" s="1434"/>
    </row>
    <row r="235" spans="28:29" x14ac:dyDescent="0.2">
      <c r="AB235" s="1520"/>
      <c r="AC235" s="1434"/>
    </row>
    <row r="236" spans="28:29" x14ac:dyDescent="0.2">
      <c r="AB236" s="1520"/>
      <c r="AC236" s="1434"/>
    </row>
    <row r="237" spans="28:29" x14ac:dyDescent="0.2">
      <c r="AB237" s="1520"/>
      <c r="AC237" s="1434"/>
    </row>
    <row r="238" spans="28:29" x14ac:dyDescent="0.2">
      <c r="AB238" s="1520"/>
      <c r="AC238" s="1434"/>
    </row>
    <row r="239" spans="28:29" x14ac:dyDescent="0.2">
      <c r="AB239" s="1520"/>
      <c r="AC239" s="1434"/>
    </row>
    <row r="240" spans="28:29" x14ac:dyDescent="0.2">
      <c r="AB240" s="1520"/>
      <c r="AC240" s="1434"/>
    </row>
    <row r="241" spans="28:29" x14ac:dyDescent="0.2">
      <c r="AB241" s="1520"/>
      <c r="AC241" s="1434"/>
    </row>
    <row r="242" spans="28:29" x14ac:dyDescent="0.2">
      <c r="AB242" s="1520"/>
      <c r="AC242" s="1434"/>
    </row>
    <row r="243" spans="28:29" x14ac:dyDescent="0.2">
      <c r="AB243" s="1520"/>
      <c r="AC243" s="1434"/>
    </row>
    <row r="244" spans="28:29" x14ac:dyDescent="0.2">
      <c r="AB244" s="1520"/>
      <c r="AC244" s="1434"/>
    </row>
    <row r="245" spans="28:29" x14ac:dyDescent="0.2">
      <c r="AB245" s="1520"/>
      <c r="AC245" s="1434"/>
    </row>
    <row r="246" spans="28:29" x14ac:dyDescent="0.2">
      <c r="AB246" s="1520"/>
      <c r="AC246" s="1434"/>
    </row>
    <row r="247" spans="28:29" x14ac:dyDescent="0.2">
      <c r="AB247" s="1520"/>
      <c r="AC247" s="1434"/>
    </row>
    <row r="248" spans="28:29" x14ac:dyDescent="0.2">
      <c r="AB248" s="1520"/>
      <c r="AC248" s="1434"/>
    </row>
    <row r="249" spans="28:29" x14ac:dyDescent="0.2">
      <c r="AB249" s="1520"/>
      <c r="AC249" s="1434"/>
    </row>
    <row r="250" spans="28:29" x14ac:dyDescent="0.2">
      <c r="AB250" s="1520"/>
      <c r="AC250" s="1434"/>
    </row>
    <row r="251" spans="28:29" x14ac:dyDescent="0.2">
      <c r="AB251" s="1520"/>
      <c r="AC251" s="1434"/>
    </row>
    <row r="252" spans="28:29" x14ac:dyDescent="0.2">
      <c r="AB252" s="1520"/>
      <c r="AC252" s="1434"/>
    </row>
    <row r="253" spans="28:29" x14ac:dyDescent="0.2">
      <c r="AB253" s="1520"/>
      <c r="AC253" s="1434"/>
    </row>
    <row r="254" spans="28:29" x14ac:dyDescent="0.2">
      <c r="AB254" s="1520"/>
      <c r="AC254" s="1434"/>
    </row>
    <row r="255" spans="28:29" x14ac:dyDescent="0.2">
      <c r="AB255" s="1520"/>
      <c r="AC255" s="1434"/>
    </row>
    <row r="256" spans="28:29" x14ac:dyDescent="0.2">
      <c r="AB256" s="1520"/>
      <c r="AC256" s="1434"/>
    </row>
    <row r="257" spans="28:29" x14ac:dyDescent="0.2">
      <c r="AB257" s="1520"/>
      <c r="AC257" s="1434"/>
    </row>
    <row r="258" spans="28:29" x14ac:dyDescent="0.2">
      <c r="AB258" s="1520"/>
      <c r="AC258" s="1434"/>
    </row>
    <row r="259" spans="28:29" x14ac:dyDescent="0.2">
      <c r="AB259" s="1520"/>
      <c r="AC259" s="1434"/>
    </row>
    <row r="260" spans="28:29" x14ac:dyDescent="0.2">
      <c r="AB260" s="1520"/>
      <c r="AC260" s="1434"/>
    </row>
    <row r="261" spans="28:29" x14ac:dyDescent="0.2">
      <c r="AB261" s="1520"/>
      <c r="AC261" s="1434"/>
    </row>
    <row r="262" spans="28:29" x14ac:dyDescent="0.2">
      <c r="AB262" s="1520"/>
      <c r="AC262" s="1434"/>
    </row>
    <row r="263" spans="28:29" x14ac:dyDescent="0.2">
      <c r="AB263" s="1520"/>
      <c r="AC263" s="1434"/>
    </row>
    <row r="264" spans="28:29" x14ac:dyDescent="0.2">
      <c r="AB264" s="1520"/>
      <c r="AC264" s="1434"/>
    </row>
    <row r="265" spans="28:29" x14ac:dyDescent="0.2">
      <c r="AB265" s="1520"/>
      <c r="AC265" s="1434"/>
    </row>
    <row r="266" spans="28:29" x14ac:dyDescent="0.2">
      <c r="AB266" s="1520"/>
      <c r="AC266" s="1434"/>
    </row>
    <row r="267" spans="28:29" x14ac:dyDescent="0.2">
      <c r="AB267" s="1520"/>
      <c r="AC267" s="1434"/>
    </row>
    <row r="268" spans="28:29" x14ac:dyDescent="0.2">
      <c r="AB268" s="1520"/>
      <c r="AC268" s="1434"/>
    </row>
    <row r="269" spans="28:29" x14ac:dyDescent="0.2">
      <c r="AB269" s="1520"/>
      <c r="AC269" s="1434"/>
    </row>
    <row r="270" spans="28:29" x14ac:dyDescent="0.2">
      <c r="AB270" s="1520"/>
      <c r="AC270" s="1434"/>
    </row>
    <row r="271" spans="28:29" x14ac:dyDescent="0.2">
      <c r="AB271" s="1520"/>
      <c r="AC271" s="1434"/>
    </row>
    <row r="272" spans="28:29" x14ac:dyDescent="0.2">
      <c r="AB272" s="1520"/>
      <c r="AC272" s="1434"/>
    </row>
    <row r="273" spans="28:29" x14ac:dyDescent="0.2">
      <c r="AB273" s="1520"/>
      <c r="AC273" s="1434"/>
    </row>
    <row r="274" spans="28:29" x14ac:dyDescent="0.2">
      <c r="AB274" s="1520"/>
      <c r="AC274" s="1434"/>
    </row>
    <row r="275" spans="28:29" x14ac:dyDescent="0.2">
      <c r="AB275" s="1520"/>
      <c r="AC275" s="1434"/>
    </row>
    <row r="276" spans="28:29" x14ac:dyDescent="0.2">
      <c r="AB276" s="1520"/>
      <c r="AC276" s="1434"/>
    </row>
    <row r="277" spans="28:29" x14ac:dyDescent="0.2">
      <c r="AB277" s="1520"/>
      <c r="AC277" s="1434"/>
    </row>
    <row r="278" spans="28:29" x14ac:dyDescent="0.2">
      <c r="AB278" s="1520"/>
      <c r="AC278" s="1434"/>
    </row>
    <row r="279" spans="28:29" x14ac:dyDescent="0.2">
      <c r="AB279" s="1520"/>
      <c r="AC279" s="1434"/>
    </row>
    <row r="280" spans="28:29" x14ac:dyDescent="0.2">
      <c r="AB280" s="1520"/>
      <c r="AC280" s="1434"/>
    </row>
    <row r="281" spans="28:29" x14ac:dyDescent="0.2">
      <c r="AB281" s="1520"/>
      <c r="AC281" s="1434"/>
    </row>
    <row r="282" spans="28:29" x14ac:dyDescent="0.2">
      <c r="AB282" s="1520"/>
      <c r="AC282" s="1434"/>
    </row>
    <row r="283" spans="28:29" x14ac:dyDescent="0.2">
      <c r="AB283" s="1520"/>
      <c r="AC283" s="1434"/>
    </row>
    <row r="284" spans="28:29" x14ac:dyDescent="0.2">
      <c r="AB284" s="1520"/>
      <c r="AC284" s="1434"/>
    </row>
    <row r="285" spans="28:29" x14ac:dyDescent="0.2">
      <c r="AB285" s="1520"/>
      <c r="AC285" s="1434"/>
    </row>
    <row r="286" spans="28:29" x14ac:dyDescent="0.2">
      <c r="AB286" s="1520"/>
      <c r="AC286" s="1434"/>
    </row>
    <row r="287" spans="28:29" x14ac:dyDescent="0.2">
      <c r="AB287" s="1520"/>
      <c r="AC287" s="1434"/>
    </row>
    <row r="288" spans="28:29" x14ac:dyDescent="0.2">
      <c r="AB288" s="1520"/>
      <c r="AC288" s="1434"/>
    </row>
  </sheetData>
  <sheetProtection sheet="1" objects="1" scenarios="1"/>
  <dataConsolidate/>
  <customSheetViews>
    <customSheetView guid="{F50C5479-5CC4-4FD7-8319-543D29E829F0}" showGridLines="0" topLeftCell="A22">
      <selection activeCell="N41" sqref="N41"/>
      <pageMargins left="0.75" right="0.75" top="1" bottom="1" header="0.5" footer="0.5"/>
      <pageSetup orientation="portrait" horizontalDpi="200" verticalDpi="200" r:id="rId1"/>
      <headerFooter alignWithMargins="0"/>
    </customSheetView>
  </customSheetViews>
  <phoneticPr fontId="2" type="noConversion"/>
  <pageMargins left="0.75" right="0.75" top="1" bottom="1" header="0.5" footer="0.5"/>
  <pageSetup scale="76" orientation="portrait" horizontalDpi="200" verticalDpi="200" r:id="rId2"/>
  <headerFooter alignWithMargins="0"/>
  <drawing r:id="rId3"/>
  <legacyDrawing r:id="rId4"/>
  <controls>
    <mc:AlternateContent xmlns:mc="http://schemas.openxmlformats.org/markup-compatibility/2006">
      <mc:Choice Requires="x14">
        <control shapeId="124042" r:id="rId5" name="ToggleHiddenColumns">
          <controlPr defaultSize="0" autoLine="0" r:id="rId6">
            <anchor moveWithCells="1">
              <from>
                <xdr:col>1</xdr:col>
                <xdr:colOff>228600</xdr:colOff>
                <xdr:row>42</xdr:row>
                <xdr:rowOff>9525</xdr:rowOff>
              </from>
              <to>
                <xdr:col>5</xdr:col>
                <xdr:colOff>209550</xdr:colOff>
                <xdr:row>44</xdr:row>
                <xdr:rowOff>28575</xdr:rowOff>
              </to>
            </anchor>
          </controlPr>
        </control>
      </mc:Choice>
      <mc:Fallback>
        <control shapeId="124042" r:id="rId5" name="ToggleHiddenColumns"/>
      </mc:Fallback>
    </mc:AlternateContent>
    <mc:AlternateContent xmlns:mc="http://schemas.openxmlformats.org/markup-compatibility/2006">
      <mc:Choice Requires="x14">
        <control shapeId="124040" r:id="rId7" name="TogglePreAuditColums">
          <controlPr defaultSize="0" autoLine="0" r:id="rId8">
            <anchor moveWithCells="1">
              <from>
                <xdr:col>1</xdr:col>
                <xdr:colOff>257175</xdr:colOff>
                <xdr:row>35</xdr:row>
                <xdr:rowOff>19050</xdr:rowOff>
              </from>
              <to>
                <xdr:col>5</xdr:col>
                <xdr:colOff>238125</xdr:colOff>
                <xdr:row>37</xdr:row>
                <xdr:rowOff>19050</xdr:rowOff>
              </to>
            </anchor>
          </controlPr>
        </control>
      </mc:Choice>
      <mc:Fallback>
        <control shapeId="124040" r:id="rId7" name="TogglePreAuditColums"/>
      </mc:Fallback>
    </mc:AlternateContent>
    <mc:AlternateContent xmlns:mc="http://schemas.openxmlformats.org/markup-compatibility/2006">
      <mc:Choice Requires="x14">
        <control shapeId="124039" r:id="rId9" name="ToggleReferenceColumns">
          <controlPr defaultSize="0" autoLine="0" r:id="rId10">
            <anchor moveWithCells="1">
              <from>
                <xdr:col>1</xdr:col>
                <xdr:colOff>247650</xdr:colOff>
                <xdr:row>37</xdr:row>
                <xdr:rowOff>66675</xdr:rowOff>
              </from>
              <to>
                <xdr:col>5</xdr:col>
                <xdr:colOff>228600</xdr:colOff>
                <xdr:row>39</xdr:row>
                <xdr:rowOff>57150</xdr:rowOff>
              </to>
            </anchor>
          </controlPr>
        </control>
      </mc:Choice>
      <mc:Fallback>
        <control shapeId="124039" r:id="rId9" name="ToggleReferenceColumns"/>
      </mc:Fallback>
    </mc:AlternateContent>
    <mc:AlternateContent xmlns:mc="http://schemas.openxmlformats.org/markup-compatibility/2006">
      <mc:Choice Requires="x14">
        <control shapeId="123950" r:id="rId11" name="TextBox6">
          <controlPr defaultSize="0" autoLine="0" linkedCell="Contacts!B64" r:id="rId12">
            <anchor moveWithCells="1">
              <from>
                <xdr:col>9</xdr:col>
                <xdr:colOff>57150</xdr:colOff>
                <xdr:row>9</xdr:row>
                <xdr:rowOff>142875</xdr:rowOff>
              </from>
              <to>
                <xdr:col>11</xdr:col>
                <xdr:colOff>247650</xdr:colOff>
                <xdr:row>11</xdr:row>
                <xdr:rowOff>76200</xdr:rowOff>
              </to>
            </anchor>
          </controlPr>
        </control>
      </mc:Choice>
      <mc:Fallback>
        <control shapeId="123950" r:id="rId11" name="TextBox6"/>
      </mc:Fallback>
    </mc:AlternateContent>
    <mc:AlternateContent xmlns:mc="http://schemas.openxmlformats.org/markup-compatibility/2006">
      <mc:Choice Requires="x14">
        <control shapeId="123948" r:id="rId13" name="TextBox5">
          <controlPr defaultSize="0" autoLine="0" linkedCell="Contacts!B65" r:id="rId14">
            <anchor moveWithCells="1">
              <from>
                <xdr:col>5</xdr:col>
                <xdr:colOff>190500</xdr:colOff>
                <xdr:row>12</xdr:row>
                <xdr:rowOff>28575</xdr:rowOff>
              </from>
              <to>
                <xdr:col>11</xdr:col>
                <xdr:colOff>247650</xdr:colOff>
                <xdr:row>13</xdr:row>
                <xdr:rowOff>123825</xdr:rowOff>
              </to>
            </anchor>
          </controlPr>
        </control>
      </mc:Choice>
      <mc:Fallback>
        <control shapeId="123948" r:id="rId13" name="TextBox5"/>
      </mc:Fallback>
    </mc:AlternateContent>
    <mc:AlternateContent xmlns:mc="http://schemas.openxmlformats.org/markup-compatibility/2006">
      <mc:Choice Requires="x14">
        <control shapeId="123947" r:id="rId15" name="TextBox4">
          <controlPr defaultSize="0" autoLine="0" linkedCell="Contacts!B62" r:id="rId16">
            <anchor moveWithCells="1">
              <from>
                <xdr:col>5</xdr:col>
                <xdr:colOff>200025</xdr:colOff>
                <xdr:row>9</xdr:row>
                <xdr:rowOff>123825</xdr:rowOff>
              </from>
              <to>
                <xdr:col>7</xdr:col>
                <xdr:colOff>533400</xdr:colOff>
                <xdr:row>11</xdr:row>
                <xdr:rowOff>57150</xdr:rowOff>
              </to>
            </anchor>
          </controlPr>
        </control>
      </mc:Choice>
      <mc:Fallback>
        <control shapeId="123947" r:id="rId15" name="TextBox4"/>
      </mc:Fallback>
    </mc:AlternateContent>
    <mc:AlternateContent xmlns:mc="http://schemas.openxmlformats.org/markup-compatibility/2006">
      <mc:Choice Requires="x14">
        <control shapeId="123946" r:id="rId17" name="TextBox3">
          <controlPr defaultSize="0" autoLine="0" linkedCell="Contacts!B61" r:id="rId18">
            <anchor moveWithCells="1">
              <from>
                <xdr:col>5</xdr:col>
                <xdr:colOff>190500</xdr:colOff>
                <xdr:row>7</xdr:row>
                <xdr:rowOff>47625</xdr:rowOff>
              </from>
              <to>
                <xdr:col>11</xdr:col>
                <xdr:colOff>247650</xdr:colOff>
                <xdr:row>8</xdr:row>
                <xdr:rowOff>142875</xdr:rowOff>
              </to>
            </anchor>
          </controlPr>
        </control>
      </mc:Choice>
      <mc:Fallback>
        <control shapeId="123946" r:id="rId17" name="TextBox3"/>
      </mc:Fallback>
    </mc:AlternateContent>
    <mc:AlternateContent xmlns:mc="http://schemas.openxmlformats.org/markup-compatibility/2006">
      <mc:Choice Requires="x14">
        <control shapeId="123931" r:id="rId19" name="Drop Down 27">
          <controlPr defaultSize="0" autoLine="0" autoPict="0">
            <anchor moveWithCells="1">
              <from>
                <xdr:col>5</xdr:col>
                <xdr:colOff>209550</xdr:colOff>
                <xdr:row>18</xdr:row>
                <xdr:rowOff>28575</xdr:rowOff>
              </from>
              <to>
                <xdr:col>6</xdr:col>
                <xdr:colOff>485775</xdr:colOff>
                <xdr:row>19</xdr:row>
                <xdr:rowOff>123825</xdr:rowOff>
              </to>
            </anchor>
          </controlPr>
        </control>
      </mc:Choice>
    </mc:AlternateContent>
    <mc:AlternateContent xmlns:mc="http://schemas.openxmlformats.org/markup-compatibility/2006">
      <mc:Choice Requires="x14">
        <control shapeId="123932" r:id="rId20" name="Drop Down 28">
          <controlPr defaultSize="0" autoLine="0" autoPict="0">
            <anchor moveWithCells="1">
              <from>
                <xdr:col>5</xdr:col>
                <xdr:colOff>200025</xdr:colOff>
                <xdr:row>20</xdr:row>
                <xdr:rowOff>114300</xdr:rowOff>
              </from>
              <to>
                <xdr:col>7</xdr:col>
                <xdr:colOff>600075</xdr:colOff>
                <xdr:row>22</xdr:row>
                <xdr:rowOff>47625</xdr:rowOff>
              </to>
            </anchor>
          </controlPr>
        </control>
      </mc:Choice>
    </mc:AlternateContent>
    <mc:AlternateContent xmlns:mc="http://schemas.openxmlformats.org/markup-compatibility/2006">
      <mc:Choice Requires="x14">
        <control shapeId="123936" r:id="rId21" name="Drop Down 32">
          <controlPr defaultSize="0" autoLine="0" autoPict="0">
            <anchor moveWithCells="1">
              <from>
                <xdr:col>5</xdr:col>
                <xdr:colOff>200025</xdr:colOff>
                <xdr:row>15</xdr:row>
                <xdr:rowOff>57150</xdr:rowOff>
              </from>
              <to>
                <xdr:col>7</xdr:col>
                <xdr:colOff>247650</xdr:colOff>
                <xdr:row>16</xdr:row>
                <xdr:rowOff>152400</xdr:rowOff>
              </to>
            </anchor>
          </controlPr>
        </control>
      </mc:Choice>
    </mc:AlternateContent>
    <mc:AlternateContent xmlns:mc="http://schemas.openxmlformats.org/markup-compatibility/2006">
      <mc:Choice Requires="x14">
        <control shapeId="124151" r:id="rId22" name="Drop Down 247">
          <controlPr defaultSize="0" autoLine="0" autoPict="0">
            <anchor moveWithCells="1">
              <from>
                <xdr:col>5</xdr:col>
                <xdr:colOff>200025</xdr:colOff>
                <xdr:row>4</xdr:row>
                <xdr:rowOff>76200</xdr:rowOff>
              </from>
              <to>
                <xdr:col>11</xdr:col>
                <xdr:colOff>247650</xdr:colOff>
                <xdr:row>6</xdr:row>
                <xdr:rowOff>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2"/>
  </sheetPr>
  <dimension ref="A1:P275"/>
  <sheetViews>
    <sheetView showGridLines="0" zoomScaleNormal="100" workbookViewId="0">
      <pane xSplit="1" ySplit="4" topLeftCell="B5" activePane="bottomRight" state="frozen"/>
      <selection activeCell="F35" sqref="F35"/>
      <selection pane="topRight" activeCell="F35" sqref="F35"/>
      <selection pane="bottomLeft" activeCell="F35" sqref="F35"/>
      <selection pane="bottomRight" activeCell="K130" sqref="K130"/>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6" s="179" customFormat="1" x14ac:dyDescent="0.2">
      <c r="A1" s="147" t="str">
        <f>muni&amp;" - "&amp;TableA1</f>
        <v>MP315 Thembisile Hani - Supporting Table SA1 Supportinging detail to 'Budgeted Financial Performance'</v>
      </c>
      <c r="B1" s="147"/>
      <c r="C1" s="147"/>
      <c r="D1" s="147"/>
      <c r="E1" s="147"/>
      <c r="F1" s="147"/>
      <c r="G1" s="147"/>
      <c r="H1" s="147"/>
      <c r="I1" s="147"/>
      <c r="J1" s="147"/>
      <c r="K1" s="147"/>
      <c r="L1" s="147"/>
    </row>
    <row r="2" spans="1:16" ht="28.5" customHeight="1" x14ac:dyDescent="0.25">
      <c r="A2" s="2791" t="str">
        <f>desc</f>
        <v>Description</v>
      </c>
      <c r="B2" s="2793"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6" ht="25.5" x14ac:dyDescent="0.25">
      <c r="A3" s="2792"/>
      <c r="B3" s="2794"/>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2015/16</v>
      </c>
      <c r="K3" s="152" t="str">
        <f>Head10</f>
        <v>Budget Year +1 2016/17</v>
      </c>
      <c r="L3" s="153" t="str">
        <f>Head11</f>
        <v>Budget Year +2 2017/18</v>
      </c>
    </row>
    <row r="4" spans="1:16" x14ac:dyDescent="0.25">
      <c r="A4" s="180" t="s">
        <v>662</v>
      </c>
      <c r="B4" s="290"/>
      <c r="C4" s="138"/>
      <c r="D4" s="138"/>
      <c r="E4" s="156"/>
      <c r="F4" s="155"/>
      <c r="G4" s="138"/>
      <c r="H4" s="156"/>
      <c r="I4" s="157"/>
      <c r="J4" s="155"/>
      <c r="K4" s="138"/>
      <c r="L4" s="156"/>
    </row>
    <row r="5" spans="1:16" x14ac:dyDescent="0.25">
      <c r="A5" s="333" t="s">
        <v>538</v>
      </c>
      <c r="B5" s="291"/>
      <c r="C5" s="398"/>
      <c r="D5" s="398"/>
      <c r="E5" s="195"/>
      <c r="F5" s="399"/>
      <c r="G5" s="398"/>
      <c r="H5" s="195"/>
      <c r="I5" s="309"/>
      <c r="J5" s="400"/>
      <c r="K5" s="398"/>
      <c r="L5" s="195"/>
    </row>
    <row r="6" spans="1:16" x14ac:dyDescent="0.25">
      <c r="A6" s="401" t="str">
        <f>'A4-FinPerf RE'!A5</f>
        <v>Property rates</v>
      </c>
      <c r="B6" s="293">
        <v>6</v>
      </c>
      <c r="C6" s="402"/>
      <c r="D6" s="402"/>
      <c r="E6" s="195"/>
      <c r="F6" s="399"/>
      <c r="G6" s="402"/>
      <c r="H6" s="195"/>
      <c r="I6" s="309"/>
      <c r="J6" s="403"/>
      <c r="K6" s="402"/>
      <c r="L6" s="195"/>
      <c r="M6" s="369"/>
      <c r="N6" s="369"/>
      <c r="O6" s="369"/>
      <c r="P6" s="369"/>
    </row>
    <row r="7" spans="1:16" x14ac:dyDescent="0.25">
      <c r="A7" s="1276" t="s">
        <v>440</v>
      </c>
      <c r="B7" s="293"/>
      <c r="C7" s="1671">
        <v>6535187</v>
      </c>
      <c r="D7" s="1671">
        <v>4791658</v>
      </c>
      <c r="E7" s="1672">
        <v>13186995</v>
      </c>
      <c r="F7" s="1673">
        <v>6656524.6680000005</v>
      </c>
      <c r="G7" s="1671">
        <v>22086220.908</v>
      </c>
      <c r="H7" s="1672">
        <v>22086220.908</v>
      </c>
      <c r="I7" s="1674">
        <v>6790342</v>
      </c>
      <c r="J7" s="1675">
        <f>A3A!I39</f>
        <v>57411199.609999999</v>
      </c>
      <c r="K7" s="1671">
        <f>J7*1.059</f>
        <v>60798460.386989996</v>
      </c>
      <c r="L7" s="1672">
        <f>K7*1.056</f>
        <v>64203174.168661438</v>
      </c>
      <c r="M7" s="369"/>
      <c r="N7" s="369"/>
      <c r="O7" s="369"/>
      <c r="P7" s="369"/>
    </row>
    <row r="8" spans="1:16" x14ac:dyDescent="0.25">
      <c r="A8" s="1532" t="s">
        <v>441</v>
      </c>
      <c r="B8" s="293"/>
      <c r="C8" s="1676"/>
      <c r="D8" s="1676"/>
      <c r="E8" s="1677"/>
      <c r="F8" s="1678"/>
      <c r="G8" s="1676"/>
      <c r="H8" s="1677"/>
      <c r="I8" s="1679"/>
      <c r="J8" s="1675"/>
      <c r="K8" s="1676"/>
      <c r="L8" s="1677"/>
      <c r="M8" s="369"/>
      <c r="N8" s="369"/>
      <c r="O8" s="369"/>
      <c r="P8" s="369"/>
    </row>
    <row r="9" spans="1:16" x14ac:dyDescent="0.25">
      <c r="A9" s="416" t="s">
        <v>442</v>
      </c>
      <c r="B9" s="293"/>
      <c r="C9" s="213">
        <f>C7-C8</f>
        <v>6535187</v>
      </c>
      <c r="D9" s="213">
        <f t="shared" ref="D9:L9" si="0">D7-D8</f>
        <v>4791658</v>
      </c>
      <c r="E9" s="214">
        <f t="shared" si="0"/>
        <v>13186995</v>
      </c>
      <c r="F9" s="215">
        <f t="shared" si="0"/>
        <v>6656524.6680000005</v>
      </c>
      <c r="G9" s="213">
        <f t="shared" si="0"/>
        <v>22086220.908</v>
      </c>
      <c r="H9" s="214">
        <f t="shared" si="0"/>
        <v>22086220.908</v>
      </c>
      <c r="I9" s="212">
        <f t="shared" si="0"/>
        <v>6790342</v>
      </c>
      <c r="J9" s="216">
        <f t="shared" si="0"/>
        <v>57411199.609999999</v>
      </c>
      <c r="K9" s="213">
        <f t="shared" si="0"/>
        <v>60798460.386989996</v>
      </c>
      <c r="L9" s="214">
        <f t="shared" si="0"/>
        <v>64203174.168661438</v>
      </c>
      <c r="M9" s="369"/>
      <c r="N9" s="369"/>
      <c r="O9" s="369"/>
      <c r="P9" s="369"/>
    </row>
    <row r="10" spans="1:16" ht="5.0999999999999996" customHeight="1" x14ac:dyDescent="0.25">
      <c r="A10" s="325"/>
      <c r="B10" s="293"/>
      <c r="C10" s="402"/>
      <c r="D10" s="402"/>
      <c r="E10" s="195"/>
      <c r="F10" s="399"/>
      <c r="G10" s="402"/>
      <c r="H10" s="195"/>
      <c r="I10" s="309"/>
      <c r="J10" s="403"/>
      <c r="K10" s="402"/>
      <c r="L10" s="195"/>
      <c r="M10" s="369"/>
      <c r="N10" s="369"/>
      <c r="O10" s="369"/>
      <c r="P10" s="369"/>
    </row>
    <row r="11" spans="1:16" x14ac:dyDescent="0.25">
      <c r="A11" s="401" t="str">
        <f>'A4-FinPerf RE'!A7</f>
        <v>Service charges - electricity revenue</v>
      </c>
      <c r="B11" s="293">
        <v>6</v>
      </c>
      <c r="C11" s="402"/>
      <c r="D11" s="402"/>
      <c r="E11" s="195"/>
      <c r="F11" s="399"/>
      <c r="G11" s="402"/>
      <c r="H11" s="195"/>
      <c r="I11" s="309"/>
      <c r="J11" s="403"/>
      <c r="K11" s="402"/>
      <c r="L11" s="195"/>
      <c r="M11" s="369"/>
      <c r="N11" s="369"/>
      <c r="O11" s="369"/>
      <c r="P11" s="369"/>
    </row>
    <row r="12" spans="1:16" x14ac:dyDescent="0.25">
      <c r="A12" s="1276" t="str">
        <f>"Total "&amp;A11</f>
        <v>Total Service charges - electricity revenue</v>
      </c>
      <c r="B12" s="293"/>
      <c r="C12" s="1671"/>
      <c r="D12" s="1671"/>
      <c r="E12" s="1672"/>
      <c r="F12" s="1673"/>
      <c r="G12" s="1671"/>
      <c r="H12" s="1672"/>
      <c r="I12" s="1674"/>
      <c r="J12" s="1675"/>
      <c r="K12" s="1671"/>
      <c r="L12" s="1672"/>
      <c r="M12" s="369"/>
      <c r="N12" s="369"/>
      <c r="O12" s="369"/>
      <c r="P12" s="369"/>
    </row>
    <row r="13" spans="1:16" x14ac:dyDescent="0.25">
      <c r="A13" s="1532" t="str">
        <f>$A$8</f>
        <v>less Revenue Foregone</v>
      </c>
      <c r="B13" s="293"/>
      <c r="C13" s="1676"/>
      <c r="D13" s="1676"/>
      <c r="E13" s="1677"/>
      <c r="F13" s="1678"/>
      <c r="G13" s="1676"/>
      <c r="H13" s="1677"/>
      <c r="I13" s="1679"/>
      <c r="J13" s="1675"/>
      <c r="K13" s="1676"/>
      <c r="L13" s="1677"/>
      <c r="M13" s="369"/>
      <c r="N13" s="369"/>
      <c r="O13" s="369"/>
      <c r="P13" s="369"/>
    </row>
    <row r="14" spans="1:16" ht="12.75" customHeight="1" x14ac:dyDescent="0.25">
      <c r="A14" s="416" t="str">
        <f>"Net "&amp; A11</f>
        <v>Net Service charges - electricity revenue</v>
      </c>
      <c r="B14" s="293"/>
      <c r="C14" s="213">
        <f t="shared" ref="C14:L14" si="1">C12-C13</f>
        <v>0</v>
      </c>
      <c r="D14" s="213">
        <f t="shared" si="1"/>
        <v>0</v>
      </c>
      <c r="E14" s="214">
        <f t="shared" si="1"/>
        <v>0</v>
      </c>
      <c r="F14" s="215">
        <f t="shared" si="1"/>
        <v>0</v>
      </c>
      <c r="G14" s="213">
        <f t="shared" si="1"/>
        <v>0</v>
      </c>
      <c r="H14" s="214">
        <f t="shared" si="1"/>
        <v>0</v>
      </c>
      <c r="I14" s="212">
        <f t="shared" si="1"/>
        <v>0</v>
      </c>
      <c r="J14" s="216">
        <f t="shared" si="1"/>
        <v>0</v>
      </c>
      <c r="K14" s="213">
        <f t="shared" si="1"/>
        <v>0</v>
      </c>
      <c r="L14" s="214">
        <f t="shared" si="1"/>
        <v>0</v>
      </c>
      <c r="M14" s="369"/>
      <c r="N14" s="369"/>
      <c r="O14" s="369"/>
      <c r="P14" s="369"/>
    </row>
    <row r="15" spans="1:16" ht="5.0999999999999996" customHeight="1" x14ac:dyDescent="0.25">
      <c r="B15" s="293"/>
      <c r="C15" s="1176"/>
      <c r="D15" s="1176"/>
      <c r="E15" s="222"/>
      <c r="F15" s="594"/>
      <c r="G15" s="1176"/>
      <c r="H15" s="222"/>
      <c r="I15" s="241"/>
      <c r="J15" s="1177"/>
      <c r="K15" s="1176"/>
      <c r="L15" s="222"/>
      <c r="M15" s="369"/>
      <c r="N15" s="369"/>
      <c r="O15" s="369"/>
      <c r="P15" s="369"/>
    </row>
    <row r="16" spans="1:16" x14ac:dyDescent="0.25">
      <c r="A16" s="1178" t="str">
        <f>'A4-FinPerf RE'!A8</f>
        <v>Service charges - water revenue</v>
      </c>
      <c r="B16" s="293">
        <v>6</v>
      </c>
      <c r="C16" s="1176"/>
      <c r="D16" s="1176"/>
      <c r="E16" s="222"/>
      <c r="F16" s="594"/>
      <c r="G16" s="1176"/>
      <c r="H16" s="222"/>
      <c r="I16" s="241"/>
      <c r="J16" s="1177"/>
      <c r="K16" s="1176"/>
      <c r="L16" s="222"/>
      <c r="M16" s="369"/>
      <c r="N16" s="369"/>
      <c r="O16" s="369"/>
      <c r="P16" s="369"/>
    </row>
    <row r="17" spans="1:16" x14ac:dyDescent="0.25">
      <c r="A17" s="1276" t="str">
        <f>"Total "&amp;A16</f>
        <v>Total Service charges - water revenue</v>
      </c>
      <c r="B17" s="293"/>
      <c r="C17" s="1681">
        <v>34804522</v>
      </c>
      <c r="D17" s="1681">
        <v>34375993</v>
      </c>
      <c r="E17" s="1682">
        <v>32650357</v>
      </c>
      <c r="F17" s="1683">
        <v>39931200</v>
      </c>
      <c r="G17" s="1681">
        <v>39931200</v>
      </c>
      <c r="H17" s="1682">
        <v>39931200</v>
      </c>
      <c r="I17" s="1684">
        <v>24398840</v>
      </c>
      <c r="J17" s="1685">
        <f>A3A!I92</f>
        <v>41751688.280000001</v>
      </c>
      <c r="K17" s="1681">
        <f>J17*1.059</f>
        <v>44215037.888520002</v>
      </c>
      <c r="L17" s="1682">
        <f>K17*1.056</f>
        <v>46691080.010277122</v>
      </c>
      <c r="M17" s="369"/>
      <c r="N17" s="369"/>
      <c r="O17" s="369"/>
      <c r="P17" s="369"/>
    </row>
    <row r="18" spans="1:16" x14ac:dyDescent="0.25">
      <c r="A18" s="1532" t="str">
        <f>$A$8</f>
        <v>less Revenue Foregone</v>
      </c>
      <c r="B18" s="293"/>
      <c r="C18" s="1676"/>
      <c r="D18" s="1676"/>
      <c r="E18" s="1677"/>
      <c r="F18" s="1678"/>
      <c r="G18" s="1676"/>
      <c r="H18" s="1677"/>
      <c r="I18" s="1679"/>
      <c r="J18" s="1680"/>
      <c r="K18" s="1676"/>
      <c r="L18" s="1677"/>
      <c r="M18" s="369"/>
      <c r="N18" s="369"/>
      <c r="O18" s="369"/>
      <c r="P18" s="369"/>
    </row>
    <row r="19" spans="1:16" x14ac:dyDescent="0.25">
      <c r="A19" s="416" t="str">
        <f>"Net "&amp; A16</f>
        <v>Net Service charges - water revenue</v>
      </c>
      <c r="B19" s="293"/>
      <c r="C19" s="213">
        <f t="shared" ref="C19:L19" si="2">C17-C18</f>
        <v>34804522</v>
      </c>
      <c r="D19" s="213">
        <f t="shared" si="2"/>
        <v>34375993</v>
      </c>
      <c r="E19" s="214">
        <f t="shared" si="2"/>
        <v>32650357</v>
      </c>
      <c r="F19" s="215">
        <f t="shared" si="2"/>
        <v>39931200</v>
      </c>
      <c r="G19" s="213">
        <f t="shared" si="2"/>
        <v>39931200</v>
      </c>
      <c r="H19" s="214">
        <f t="shared" si="2"/>
        <v>39931200</v>
      </c>
      <c r="I19" s="212">
        <f t="shared" si="2"/>
        <v>24398840</v>
      </c>
      <c r="J19" s="216">
        <f t="shared" si="2"/>
        <v>41751688.280000001</v>
      </c>
      <c r="K19" s="213">
        <f t="shared" si="2"/>
        <v>44215037.888520002</v>
      </c>
      <c r="L19" s="214">
        <f t="shared" si="2"/>
        <v>46691080.010277122</v>
      </c>
      <c r="M19" s="369"/>
      <c r="N19" s="369"/>
      <c r="O19" s="369"/>
      <c r="P19" s="369"/>
    </row>
    <row r="20" spans="1:16" ht="4.5" customHeight="1" x14ac:dyDescent="0.25">
      <c r="A20" s="416"/>
      <c r="B20" s="293"/>
      <c r="C20" s="1176"/>
      <c r="D20" s="1176"/>
      <c r="E20" s="222"/>
      <c r="F20" s="594"/>
      <c r="G20" s="1176"/>
      <c r="H20" s="222"/>
      <c r="I20" s="241"/>
      <c r="J20" s="1177"/>
      <c r="K20" s="1176"/>
      <c r="L20" s="222"/>
      <c r="M20" s="369"/>
      <c r="N20" s="369"/>
      <c r="O20" s="369"/>
      <c r="P20" s="369"/>
    </row>
    <row r="21" spans="1:16" x14ac:dyDescent="0.25">
      <c r="A21" s="1178" t="str">
        <f>'A4-FinPerf RE'!A9</f>
        <v>Service charges - sanitation revenue</v>
      </c>
      <c r="B21" s="293"/>
      <c r="C21" s="1176"/>
      <c r="D21" s="1176"/>
      <c r="E21" s="222"/>
      <c r="F21" s="594"/>
      <c r="G21" s="1176"/>
      <c r="H21" s="222"/>
      <c r="I21" s="241"/>
      <c r="J21" s="1177"/>
      <c r="K21" s="1176"/>
      <c r="L21" s="222"/>
      <c r="M21" s="369"/>
      <c r="N21" s="369"/>
      <c r="O21" s="369"/>
      <c r="P21" s="369"/>
    </row>
    <row r="22" spans="1:16" x14ac:dyDescent="0.25">
      <c r="A22" s="1276" t="str">
        <f>"Total "&amp;A21</f>
        <v>Total Service charges - sanitation revenue</v>
      </c>
      <c r="B22" s="293"/>
      <c r="C22" s="1681">
        <v>630935</v>
      </c>
      <c r="D22" s="1681"/>
      <c r="E22" s="1682">
        <v>1383804</v>
      </c>
      <c r="F22" s="1683">
        <v>1533259.31</v>
      </c>
      <c r="G22" s="1681">
        <v>1533259.31</v>
      </c>
      <c r="H22" s="1682">
        <v>1533259.31</v>
      </c>
      <c r="I22" s="1684">
        <v>1775934</v>
      </c>
      <c r="J22" s="1685">
        <f>A3A!I105</f>
        <v>1790589.2400000002</v>
      </c>
      <c r="K22" s="1681">
        <f>J22*1.059</f>
        <v>1896234.0051600002</v>
      </c>
      <c r="L22" s="1682">
        <f>K22*1.056</f>
        <v>2002423.1094489603</v>
      </c>
      <c r="M22" s="369"/>
      <c r="N22" s="369"/>
      <c r="O22" s="369"/>
      <c r="P22" s="369"/>
    </row>
    <row r="23" spans="1:16" x14ac:dyDescent="0.25">
      <c r="A23" s="1532" t="str">
        <f>$A$8</f>
        <v>less Revenue Foregone</v>
      </c>
      <c r="B23" s="293"/>
      <c r="C23" s="1676"/>
      <c r="D23" s="1676"/>
      <c r="E23" s="1677"/>
      <c r="F23" s="1678"/>
      <c r="G23" s="1676"/>
      <c r="H23" s="1677"/>
      <c r="I23" s="1679"/>
      <c r="J23" s="1680"/>
      <c r="K23" s="1676"/>
      <c r="L23" s="1677"/>
      <c r="M23" s="369"/>
      <c r="N23" s="369"/>
      <c r="O23" s="369"/>
      <c r="P23" s="369"/>
    </row>
    <row r="24" spans="1:16" x14ac:dyDescent="0.25">
      <c r="A24" s="416" t="str">
        <f>"Net "&amp; A21</f>
        <v>Net Service charges - sanitation revenue</v>
      </c>
      <c r="B24" s="293"/>
      <c r="C24" s="213">
        <f t="shared" ref="C24:L24" si="3">C22-C23</f>
        <v>630935</v>
      </c>
      <c r="D24" s="213">
        <f t="shared" si="3"/>
        <v>0</v>
      </c>
      <c r="E24" s="214">
        <f t="shared" si="3"/>
        <v>1383804</v>
      </c>
      <c r="F24" s="215">
        <f t="shared" si="3"/>
        <v>1533259.31</v>
      </c>
      <c r="G24" s="213">
        <f t="shared" si="3"/>
        <v>1533259.31</v>
      </c>
      <c r="H24" s="214">
        <f t="shared" si="3"/>
        <v>1533259.31</v>
      </c>
      <c r="I24" s="212">
        <f t="shared" si="3"/>
        <v>1775934</v>
      </c>
      <c r="J24" s="216">
        <f t="shared" si="3"/>
        <v>1790589.2400000002</v>
      </c>
      <c r="K24" s="213">
        <f t="shared" si="3"/>
        <v>1896234.0051600002</v>
      </c>
      <c r="L24" s="214">
        <f t="shared" si="3"/>
        <v>2002423.1094489603</v>
      </c>
      <c r="M24" s="369"/>
      <c r="N24" s="369"/>
      <c r="O24" s="369"/>
      <c r="P24" s="369"/>
    </row>
    <row r="25" spans="1:16" ht="4.5" customHeight="1" x14ac:dyDescent="0.25">
      <c r="A25" s="416"/>
      <c r="B25" s="293"/>
      <c r="C25" s="1176"/>
      <c r="D25" s="1176"/>
      <c r="E25" s="222"/>
      <c r="F25" s="594"/>
      <c r="G25" s="1176"/>
      <c r="H25" s="222"/>
      <c r="I25" s="241"/>
      <c r="J25" s="1177"/>
      <c r="K25" s="1176"/>
      <c r="L25" s="222"/>
      <c r="M25" s="369"/>
      <c r="N25" s="369"/>
      <c r="O25" s="369"/>
      <c r="P25" s="369"/>
    </row>
    <row r="26" spans="1:16" x14ac:dyDescent="0.25">
      <c r="A26" s="401" t="str">
        <f>'A4-FinPerf RE'!A10</f>
        <v>Service charges - refuse revenue</v>
      </c>
      <c r="B26" s="293">
        <v>6</v>
      </c>
      <c r="C26" s="402"/>
      <c r="D26" s="402"/>
      <c r="E26" s="195"/>
      <c r="F26" s="399"/>
      <c r="G26" s="402"/>
      <c r="H26" s="195"/>
      <c r="I26" s="309"/>
      <c r="J26" s="403"/>
      <c r="K26" s="402"/>
      <c r="L26" s="195"/>
      <c r="M26" s="369"/>
      <c r="N26" s="369"/>
      <c r="O26" s="369"/>
      <c r="P26" s="369"/>
    </row>
    <row r="27" spans="1:16" ht="11.25" customHeight="1" x14ac:dyDescent="0.25">
      <c r="A27" s="1276" t="s">
        <v>1553</v>
      </c>
      <c r="B27" s="293"/>
      <c r="C27" s="1606">
        <v>3970618</v>
      </c>
      <c r="D27" s="1606">
        <v>1329396</v>
      </c>
      <c r="E27" s="1628">
        <v>17701330</v>
      </c>
      <c r="F27" s="1629">
        <v>3186000</v>
      </c>
      <c r="G27" s="1606">
        <v>12309256.199999999</v>
      </c>
      <c r="H27" s="1628">
        <v>12309256.199999999</v>
      </c>
      <c r="I27" s="1630">
        <v>6278947</v>
      </c>
      <c r="J27" s="1608">
        <f>A3A!I75+A3A!I76</f>
        <v>15723162.970000001</v>
      </c>
      <c r="K27" s="1606">
        <f>J27*1.059</f>
        <v>16650829.58523</v>
      </c>
      <c r="L27" s="1628">
        <f>K27*1.056</f>
        <v>17583276.042002883</v>
      </c>
      <c r="M27" s="369"/>
      <c r="N27" s="369"/>
      <c r="O27" s="369"/>
      <c r="P27" s="369"/>
    </row>
    <row r="28" spans="1:16" ht="11.25" customHeight="1" x14ac:dyDescent="0.25">
      <c r="A28" s="1276" t="s">
        <v>1554</v>
      </c>
      <c r="B28" s="293"/>
      <c r="C28" s="1606"/>
      <c r="D28" s="1606"/>
      <c r="E28" s="1628"/>
      <c r="F28" s="1629"/>
      <c r="G28" s="1606"/>
      <c r="H28" s="1628"/>
      <c r="I28" s="1630"/>
      <c r="J28" s="1608"/>
      <c r="K28" s="1606"/>
      <c r="L28" s="1628"/>
      <c r="M28" s="369"/>
      <c r="N28" s="369"/>
      <c r="O28" s="369"/>
      <c r="P28" s="369"/>
    </row>
    <row r="29" spans="1:16" ht="11.25" customHeight="1" x14ac:dyDescent="0.25">
      <c r="A29" s="1532" t="str">
        <f>$A$8</f>
        <v>less Revenue Foregone</v>
      </c>
      <c r="B29" s="293"/>
      <c r="C29" s="1606"/>
      <c r="D29" s="1606"/>
      <c r="E29" s="1628"/>
      <c r="F29" s="1629"/>
      <c r="G29" s="1606"/>
      <c r="H29" s="1628"/>
      <c r="I29" s="1630"/>
      <c r="J29" s="1608"/>
      <c r="K29" s="1606"/>
      <c r="L29" s="1628"/>
      <c r="M29" s="369"/>
      <c r="N29" s="369"/>
      <c r="O29" s="369"/>
      <c r="P29" s="369"/>
    </row>
    <row r="30" spans="1:16" x14ac:dyDescent="0.25">
      <c r="A30" s="416" t="str">
        <f>"Net "&amp; A26</f>
        <v>Net Service charges - refuse revenue</v>
      </c>
      <c r="B30" s="293"/>
      <c r="C30" s="213">
        <f>SUM(C27:C28)-C29</f>
        <v>3970618</v>
      </c>
      <c r="D30" s="213">
        <f t="shared" ref="D30:L30" si="4">SUM(D27:D28)-D29</f>
        <v>1329396</v>
      </c>
      <c r="E30" s="214">
        <f t="shared" si="4"/>
        <v>17701330</v>
      </c>
      <c r="F30" s="215">
        <f t="shared" si="4"/>
        <v>3186000</v>
      </c>
      <c r="G30" s="213">
        <f t="shared" si="4"/>
        <v>12309256.199999999</v>
      </c>
      <c r="H30" s="214">
        <f t="shared" si="4"/>
        <v>12309256.199999999</v>
      </c>
      <c r="I30" s="212">
        <f t="shared" si="4"/>
        <v>6278947</v>
      </c>
      <c r="J30" s="216">
        <f t="shared" si="4"/>
        <v>15723162.970000001</v>
      </c>
      <c r="K30" s="213">
        <f t="shared" si="4"/>
        <v>16650829.58523</v>
      </c>
      <c r="L30" s="214">
        <f t="shared" si="4"/>
        <v>17583276.042002883</v>
      </c>
      <c r="M30" s="369"/>
      <c r="N30" s="369"/>
      <c r="O30" s="369"/>
      <c r="P30" s="369"/>
    </row>
    <row r="31" spans="1:16" ht="5.0999999999999996" customHeight="1" x14ac:dyDescent="0.25">
      <c r="A31" s="404"/>
      <c r="B31" s="293"/>
      <c r="C31" s="203"/>
      <c r="D31" s="203"/>
      <c r="E31" s="204"/>
      <c r="F31" s="205"/>
      <c r="G31" s="203"/>
      <c r="H31" s="204"/>
      <c r="I31" s="202"/>
      <c r="J31" s="206"/>
      <c r="K31" s="203"/>
      <c r="L31" s="204"/>
      <c r="M31" s="369"/>
      <c r="N31" s="369"/>
      <c r="O31" s="369"/>
      <c r="P31" s="369"/>
    </row>
    <row r="32" spans="1:16" ht="11.25" customHeight="1" x14ac:dyDescent="0.25">
      <c r="A32" s="401" t="s">
        <v>374</v>
      </c>
      <c r="B32" s="293"/>
      <c r="C32" s="315"/>
      <c r="D32" s="315"/>
      <c r="E32" s="318"/>
      <c r="F32" s="317"/>
      <c r="G32" s="315"/>
      <c r="H32" s="318"/>
      <c r="I32" s="316"/>
      <c r="J32" s="405"/>
      <c r="K32" s="315"/>
      <c r="L32" s="318"/>
      <c r="M32" s="369"/>
      <c r="N32" s="369"/>
      <c r="O32" s="369"/>
      <c r="P32" s="369"/>
    </row>
    <row r="33" spans="1:16" ht="11.25" customHeight="1" x14ac:dyDescent="0.25">
      <c r="A33" s="1686" t="s">
        <v>1547</v>
      </c>
      <c r="B33" s="293"/>
      <c r="C33" s="1606">
        <v>7343937</v>
      </c>
      <c r="D33" s="1606">
        <v>86886718</v>
      </c>
      <c r="E33" s="1628">
        <v>66001133</v>
      </c>
      <c r="F33" s="1629">
        <v>2298181.1700000004</v>
      </c>
      <c r="G33" s="1606">
        <v>2278861.5600000005</v>
      </c>
      <c r="H33" s="1628">
        <v>2278861.5600000005</v>
      </c>
      <c r="I33" s="1630">
        <v>16188021</v>
      </c>
      <c r="J33" s="1608">
        <v>27409957.030000001</v>
      </c>
      <c r="K33" s="1606">
        <f>J33*1.059</f>
        <v>29027144.494769998</v>
      </c>
      <c r="L33" s="1628">
        <f>K33*1.056</f>
        <v>30652664.586477119</v>
      </c>
      <c r="M33" s="369"/>
      <c r="N33" s="369"/>
      <c r="O33" s="369"/>
      <c r="P33" s="369"/>
    </row>
    <row r="34" spans="1:16" ht="11.25" customHeight="1" x14ac:dyDescent="0.25">
      <c r="A34" s="1686"/>
      <c r="B34" s="293"/>
      <c r="C34" s="1606"/>
      <c r="D34" s="1606"/>
      <c r="E34" s="1628"/>
      <c r="F34" s="1629"/>
      <c r="G34" s="1606"/>
      <c r="H34" s="1628"/>
      <c r="I34" s="1630"/>
      <c r="J34" s="1608"/>
      <c r="K34" s="1606"/>
      <c r="L34" s="1628"/>
      <c r="M34" s="369"/>
      <c r="N34" s="369"/>
      <c r="O34" s="369"/>
      <c r="P34" s="369"/>
    </row>
    <row r="35" spans="1:16" ht="11.25" customHeight="1" x14ac:dyDescent="0.25">
      <c r="A35" s="1686"/>
      <c r="B35" s="293"/>
      <c r="C35" s="1606"/>
      <c r="D35" s="1606"/>
      <c r="E35" s="1628"/>
      <c r="F35" s="1629"/>
      <c r="G35" s="1606"/>
      <c r="H35" s="1628"/>
      <c r="I35" s="1630"/>
      <c r="J35" s="1608"/>
      <c r="K35" s="1606"/>
      <c r="L35" s="1628"/>
      <c r="M35" s="369"/>
      <c r="N35" s="369"/>
      <c r="O35" s="369"/>
      <c r="P35" s="369"/>
    </row>
    <row r="36" spans="1:16" ht="11.25" customHeight="1" x14ac:dyDescent="0.25">
      <c r="A36" s="1627"/>
      <c r="B36" s="293"/>
      <c r="C36" s="1606"/>
      <c r="D36" s="1606"/>
      <c r="E36" s="1628"/>
      <c r="F36" s="1629"/>
      <c r="G36" s="1606"/>
      <c r="H36" s="1628"/>
      <c r="I36" s="1630"/>
      <c r="J36" s="1608"/>
      <c r="K36" s="1606"/>
      <c r="L36" s="1628"/>
      <c r="M36" s="369"/>
      <c r="N36" s="369"/>
      <c r="O36" s="369"/>
      <c r="P36" s="369"/>
    </row>
    <row r="37" spans="1:16" ht="11.25" customHeight="1" x14ac:dyDescent="0.25">
      <c r="A37" s="1627"/>
      <c r="B37" s="293"/>
      <c r="C37" s="1606"/>
      <c r="D37" s="1606"/>
      <c r="E37" s="1628"/>
      <c r="F37" s="1629"/>
      <c r="G37" s="1606"/>
      <c r="H37" s="1628"/>
      <c r="I37" s="1630"/>
      <c r="J37" s="1608"/>
      <c r="K37" s="1606"/>
      <c r="L37" s="1628"/>
      <c r="M37" s="369"/>
      <c r="N37" s="369"/>
      <c r="O37" s="369"/>
      <c r="P37" s="369"/>
    </row>
    <row r="38" spans="1:16" ht="11.25" customHeight="1" x14ac:dyDescent="0.25">
      <c r="A38" s="1627"/>
      <c r="B38" s="293"/>
      <c r="C38" s="1606"/>
      <c r="D38" s="1606"/>
      <c r="E38" s="1628"/>
      <c r="F38" s="1629"/>
      <c r="G38" s="1606"/>
      <c r="H38" s="1628"/>
      <c r="I38" s="1630"/>
      <c r="J38" s="1608"/>
      <c r="K38" s="1606"/>
      <c r="L38" s="1628"/>
      <c r="M38" s="369"/>
      <c r="N38" s="369"/>
      <c r="O38" s="369"/>
      <c r="P38" s="369"/>
    </row>
    <row r="39" spans="1:16" ht="11.25" customHeight="1" x14ac:dyDescent="0.25">
      <c r="A39" s="1627"/>
      <c r="B39" s="293"/>
      <c r="C39" s="1606"/>
      <c r="D39" s="1606"/>
      <c r="E39" s="1628"/>
      <c r="F39" s="1629"/>
      <c r="G39" s="1606"/>
      <c r="H39" s="1628"/>
      <c r="I39" s="1630"/>
      <c r="J39" s="1608"/>
      <c r="K39" s="1606"/>
      <c r="L39" s="1628"/>
      <c r="M39" s="369"/>
      <c r="N39" s="369"/>
      <c r="O39" s="369"/>
      <c r="P39" s="369"/>
    </row>
    <row r="40" spans="1:16" ht="11.25" customHeight="1" x14ac:dyDescent="0.25">
      <c r="A40" s="1627"/>
      <c r="B40" s="293"/>
      <c r="C40" s="1606"/>
      <c r="D40" s="1606"/>
      <c r="E40" s="1628"/>
      <c r="F40" s="1629"/>
      <c r="G40" s="1606"/>
      <c r="H40" s="1628"/>
      <c r="I40" s="1630"/>
      <c r="J40" s="1608"/>
      <c r="K40" s="1606"/>
      <c r="L40" s="1628"/>
      <c r="M40" s="369"/>
      <c r="N40" s="369"/>
      <c r="O40" s="369"/>
      <c r="P40" s="369"/>
    </row>
    <row r="41" spans="1:16" ht="11.25" customHeight="1" x14ac:dyDescent="0.25">
      <c r="A41" s="1627"/>
      <c r="B41" s="293"/>
      <c r="C41" s="1606"/>
      <c r="D41" s="1606"/>
      <c r="E41" s="1628"/>
      <c r="F41" s="1629"/>
      <c r="G41" s="1606"/>
      <c r="H41" s="1628"/>
      <c r="I41" s="1630"/>
      <c r="J41" s="1608"/>
      <c r="K41" s="1606"/>
      <c r="L41" s="1628"/>
      <c r="M41" s="369"/>
      <c r="N41" s="369"/>
      <c r="O41" s="369"/>
      <c r="P41" s="369"/>
    </row>
    <row r="42" spans="1:16" ht="11.25" customHeight="1" x14ac:dyDescent="0.25">
      <c r="A42" s="1627"/>
      <c r="B42" s="293"/>
      <c r="C42" s="1606"/>
      <c r="D42" s="1606"/>
      <c r="E42" s="1628"/>
      <c r="F42" s="1629"/>
      <c r="G42" s="1606"/>
      <c r="H42" s="1628"/>
      <c r="I42" s="1630"/>
      <c r="J42" s="1608"/>
      <c r="K42" s="1606"/>
      <c r="L42" s="1628"/>
      <c r="M42" s="369"/>
      <c r="N42" s="369"/>
      <c r="O42" s="369"/>
      <c r="P42" s="369"/>
    </row>
    <row r="43" spans="1:16" ht="11.25" customHeight="1" x14ac:dyDescent="0.25">
      <c r="A43" s="1627"/>
      <c r="B43" s="293"/>
      <c r="C43" s="1606"/>
      <c r="D43" s="1606"/>
      <c r="E43" s="1628"/>
      <c r="F43" s="1629"/>
      <c r="G43" s="1606"/>
      <c r="H43" s="1628"/>
      <c r="I43" s="1630"/>
      <c r="J43" s="1608"/>
      <c r="K43" s="1606"/>
      <c r="L43" s="1628"/>
      <c r="M43" s="369"/>
      <c r="N43" s="369"/>
      <c r="O43" s="369"/>
      <c r="P43" s="369"/>
    </row>
    <row r="44" spans="1:16" ht="11.25" customHeight="1" x14ac:dyDescent="0.25">
      <c r="A44" s="1627"/>
      <c r="B44" s="293">
        <v>3</v>
      </c>
      <c r="C44" s="1606"/>
      <c r="D44" s="1606"/>
      <c r="E44" s="1628"/>
      <c r="F44" s="1629"/>
      <c r="G44" s="1606"/>
      <c r="H44" s="1628"/>
      <c r="I44" s="1630"/>
      <c r="J44" s="1608"/>
      <c r="K44" s="1606"/>
      <c r="L44" s="1628"/>
      <c r="M44" s="369"/>
      <c r="N44" s="369"/>
      <c r="O44" s="369"/>
      <c r="P44" s="369"/>
    </row>
    <row r="45" spans="1:16" ht="11.25" customHeight="1" x14ac:dyDescent="0.25">
      <c r="A45" s="416" t="s">
        <v>1199</v>
      </c>
      <c r="B45" s="293">
        <v>1</v>
      </c>
      <c r="C45" s="213">
        <f>SUM(C33:C44)</f>
        <v>7343937</v>
      </c>
      <c r="D45" s="213">
        <f t="shared" ref="D45:L45" si="5">SUM(D33:D44)</f>
        <v>86886718</v>
      </c>
      <c r="E45" s="214">
        <f t="shared" si="5"/>
        <v>66001133</v>
      </c>
      <c r="F45" s="215">
        <f t="shared" si="5"/>
        <v>2298181.1700000004</v>
      </c>
      <c r="G45" s="213">
        <f t="shared" si="5"/>
        <v>2278861.5600000005</v>
      </c>
      <c r="H45" s="214">
        <f t="shared" si="5"/>
        <v>2278861.5600000005</v>
      </c>
      <c r="I45" s="212">
        <f t="shared" si="5"/>
        <v>16188021</v>
      </c>
      <c r="J45" s="216">
        <f t="shared" si="5"/>
        <v>27409957.030000001</v>
      </c>
      <c r="K45" s="213">
        <f t="shared" si="5"/>
        <v>29027144.494769998</v>
      </c>
      <c r="L45" s="214">
        <f t="shared" si="5"/>
        <v>30652664.586477119</v>
      </c>
      <c r="M45" s="369"/>
      <c r="N45" s="369"/>
      <c r="O45" s="369"/>
      <c r="P45" s="369"/>
    </row>
    <row r="46" spans="1:16" ht="5.0999999999999996" customHeight="1" x14ac:dyDescent="0.25">
      <c r="A46" s="201"/>
      <c r="B46" s="293"/>
      <c r="C46" s="203"/>
      <c r="D46" s="203"/>
      <c r="E46" s="204"/>
      <c r="F46" s="205"/>
      <c r="G46" s="203"/>
      <c r="H46" s="204"/>
      <c r="I46" s="202"/>
      <c r="J46" s="206"/>
      <c r="K46" s="203"/>
      <c r="L46" s="204"/>
      <c r="M46" s="369"/>
      <c r="N46" s="369"/>
      <c r="O46" s="369"/>
      <c r="P46" s="369"/>
    </row>
    <row r="47" spans="1:16" ht="15.75" customHeight="1" x14ac:dyDescent="0.25">
      <c r="A47" s="406" t="s">
        <v>537</v>
      </c>
      <c r="B47" s="407"/>
      <c r="C47" s="408"/>
      <c r="D47" s="408"/>
      <c r="E47" s="409"/>
      <c r="F47" s="410"/>
      <c r="G47" s="408"/>
      <c r="H47" s="409"/>
      <c r="I47" s="411"/>
      <c r="J47" s="412"/>
      <c r="K47" s="408"/>
      <c r="L47" s="409"/>
      <c r="M47" s="369"/>
      <c r="N47" s="369"/>
      <c r="O47" s="369"/>
      <c r="P47" s="369"/>
    </row>
    <row r="48" spans="1:16" ht="11.25" customHeight="1" x14ac:dyDescent="0.25">
      <c r="A48" s="181" t="str">
        <f>'A4-FinPerf RE'!A25</f>
        <v>Employee related costs</v>
      </c>
      <c r="B48" s="293"/>
      <c r="C48" s="203"/>
      <c r="D48" s="203"/>
      <c r="E48" s="204"/>
      <c r="F48" s="205"/>
      <c r="G48" s="203"/>
      <c r="H48" s="204"/>
      <c r="I48" s="202"/>
      <c r="J48" s="206"/>
      <c r="K48" s="203"/>
      <c r="L48" s="204"/>
      <c r="M48" s="369"/>
      <c r="N48" s="369"/>
      <c r="O48" s="369"/>
      <c r="P48" s="369"/>
    </row>
    <row r="49" spans="1:16" ht="11.25" customHeight="1" x14ac:dyDescent="0.25">
      <c r="A49" s="190" t="s">
        <v>1292</v>
      </c>
      <c r="B49" s="294">
        <v>2</v>
      </c>
      <c r="C49" s="1606">
        <v>39615878</v>
      </c>
      <c r="D49" s="1606">
        <v>33433179</v>
      </c>
      <c r="E49" s="1628">
        <f>62058486+'[7]Employee and Council Salary Sum'!$E$17</f>
        <v>66216253</v>
      </c>
      <c r="F49" s="1629">
        <v>76326555</v>
      </c>
      <c r="G49" s="1606">
        <v>70685309</v>
      </c>
      <c r="H49" s="1628">
        <v>70685309</v>
      </c>
      <c r="I49" s="1630">
        <f>37498091.66+2088838</f>
        <v>39586929.659999996</v>
      </c>
      <c r="J49" s="1608">
        <f>'SA22'!I33+'SA22'!I17</f>
        <v>76359310</v>
      </c>
      <c r="K49" s="1606">
        <f>J49*1.059</f>
        <v>80864509.289999992</v>
      </c>
      <c r="L49" s="1628">
        <f>K49*1.056</f>
        <v>85392921.81024</v>
      </c>
      <c r="M49" s="369"/>
      <c r="N49" s="369"/>
      <c r="O49" s="369"/>
      <c r="P49" s="369"/>
    </row>
    <row r="50" spans="1:16" ht="11.25" customHeight="1" x14ac:dyDescent="0.25">
      <c r="A50" s="190" t="s">
        <v>2039</v>
      </c>
      <c r="B50" s="293"/>
      <c r="C50" s="1606">
        <v>6343764</v>
      </c>
      <c r="D50" s="1606">
        <v>9777340</v>
      </c>
      <c r="E50" s="1628">
        <v>12890455</v>
      </c>
      <c r="F50" s="1629">
        <v>12060839</v>
      </c>
      <c r="G50" s="1606">
        <v>13602221.620000001</v>
      </c>
      <c r="H50" s="1628">
        <v>13602221.620000001</v>
      </c>
      <c r="I50" s="1630">
        <v>7572111</v>
      </c>
      <c r="J50" s="1608">
        <v>14974295</v>
      </c>
      <c r="K50" s="1606">
        <f t="shared" ref="K50:K60" si="6">J50*1.059</f>
        <v>15857778.404999999</v>
      </c>
      <c r="L50" s="1628">
        <f t="shared" ref="L50:L60" si="7">K50*1.056</f>
        <v>16745813.995680001</v>
      </c>
      <c r="M50" s="369"/>
      <c r="N50" s="369"/>
      <c r="O50" s="369"/>
      <c r="P50" s="369"/>
    </row>
    <row r="51" spans="1:16" ht="11.25" customHeight="1" x14ac:dyDescent="0.25">
      <c r="A51" s="190" t="s">
        <v>759</v>
      </c>
      <c r="B51" s="293"/>
      <c r="C51" s="1606">
        <v>2540257</v>
      </c>
      <c r="D51" s="1606">
        <v>2904706</v>
      </c>
      <c r="E51" s="1628">
        <f>3859541+'[7]Employee and Council Salary Sum'!$E$19</f>
        <v>3998200</v>
      </c>
      <c r="F51" s="1629">
        <v>3554342</v>
      </c>
      <c r="G51" s="1606">
        <v>4848355</v>
      </c>
      <c r="H51" s="1628">
        <v>4848355</v>
      </c>
      <c r="I51" s="1630">
        <v>2777887</v>
      </c>
      <c r="J51" s="1608">
        <v>5733230</v>
      </c>
      <c r="K51" s="1606">
        <f t="shared" si="6"/>
        <v>6071490.5699999994</v>
      </c>
      <c r="L51" s="1628">
        <f t="shared" si="7"/>
        <v>6411494.0419199998</v>
      </c>
      <c r="M51" s="369"/>
      <c r="N51" s="369"/>
      <c r="O51" s="369"/>
      <c r="P51" s="369"/>
    </row>
    <row r="52" spans="1:16" ht="11.25" customHeight="1" x14ac:dyDescent="0.25">
      <c r="A52" s="190" t="s">
        <v>1083</v>
      </c>
      <c r="B52" s="293"/>
      <c r="C52" s="1606">
        <v>0</v>
      </c>
      <c r="D52" s="1606">
        <v>3456144</v>
      </c>
      <c r="E52" s="1628">
        <v>3218485</v>
      </c>
      <c r="F52" s="1629">
        <v>150000</v>
      </c>
      <c r="G52" s="1606">
        <v>100000</v>
      </c>
      <c r="H52" s="1628">
        <v>100000</v>
      </c>
      <c r="I52" s="1630">
        <v>72657</v>
      </c>
      <c r="J52" s="1608">
        <v>0</v>
      </c>
      <c r="K52" s="1606">
        <f t="shared" si="6"/>
        <v>0</v>
      </c>
      <c r="L52" s="1628">
        <f t="shared" si="7"/>
        <v>0</v>
      </c>
      <c r="M52" s="369"/>
      <c r="N52" s="369"/>
      <c r="O52" s="369"/>
      <c r="P52" s="369"/>
    </row>
    <row r="53" spans="1:16" ht="11.25" customHeight="1" x14ac:dyDescent="0.25">
      <c r="A53" s="190" t="s">
        <v>761</v>
      </c>
      <c r="B53" s="293"/>
      <c r="C53" s="1606">
        <v>0</v>
      </c>
      <c r="D53" s="1606">
        <v>6128913</v>
      </c>
      <c r="E53" s="1628">
        <v>4986352</v>
      </c>
      <c r="F53" s="1629">
        <v>5515983</v>
      </c>
      <c r="G53" s="1606">
        <v>4980468.97</v>
      </c>
      <c r="H53" s="1628">
        <v>4980468.97</v>
      </c>
      <c r="I53" s="1630">
        <v>3990669</v>
      </c>
      <c r="J53" s="1608">
        <v>0</v>
      </c>
      <c r="K53" s="1606">
        <f t="shared" si="6"/>
        <v>0</v>
      </c>
      <c r="L53" s="1628">
        <f t="shared" si="7"/>
        <v>0</v>
      </c>
      <c r="M53" s="369"/>
      <c r="N53" s="369"/>
      <c r="O53" s="369"/>
      <c r="P53" s="369"/>
    </row>
    <row r="54" spans="1:16" ht="11.25" customHeight="1" x14ac:dyDescent="0.25">
      <c r="A54" s="190" t="s">
        <v>2193</v>
      </c>
      <c r="B54" s="293"/>
      <c r="C54" s="1606">
        <v>0</v>
      </c>
      <c r="D54" s="1606">
        <v>2936741</v>
      </c>
      <c r="E54" s="1628">
        <f>1963885+'[7]Employee and Council Salary Sum'!$E$22</f>
        <v>2443885</v>
      </c>
      <c r="F54" s="1629">
        <v>1797256</v>
      </c>
      <c r="G54" s="1606">
        <v>1956500</v>
      </c>
      <c r="H54" s="1628">
        <v>1956500</v>
      </c>
      <c r="I54" s="1630">
        <v>1099000</v>
      </c>
      <c r="J54" s="1608">
        <v>2073678</v>
      </c>
      <c r="K54" s="1606">
        <f t="shared" si="6"/>
        <v>2196025.0019999999</v>
      </c>
      <c r="L54" s="1628">
        <f t="shared" si="7"/>
        <v>2319002.4021120002</v>
      </c>
      <c r="M54" s="369"/>
      <c r="N54" s="369"/>
      <c r="O54" s="369"/>
      <c r="P54" s="369"/>
    </row>
    <row r="55" spans="1:16" ht="11.25" customHeight="1" x14ac:dyDescent="0.25">
      <c r="A55" s="190" t="s">
        <v>2040</v>
      </c>
      <c r="B55" s="293"/>
      <c r="C55" s="1606">
        <v>899855</v>
      </c>
      <c r="D55" s="1606">
        <v>322650</v>
      </c>
      <c r="E55" s="1628">
        <v>164131</v>
      </c>
      <c r="F55" s="1629">
        <v>361721</v>
      </c>
      <c r="G55" s="1606">
        <v>730450</v>
      </c>
      <c r="H55" s="1628">
        <v>730450</v>
      </c>
      <c r="I55" s="1630">
        <f>231650+42000</f>
        <v>273650</v>
      </c>
      <c r="J55" s="1608">
        <f>'SA22'!I23+'SA22'!I39</f>
        <v>431400</v>
      </c>
      <c r="K55" s="1606">
        <f t="shared" si="6"/>
        <v>456852.6</v>
      </c>
      <c r="L55" s="1628">
        <f t="shared" si="7"/>
        <v>482436.3456</v>
      </c>
      <c r="M55" s="369"/>
      <c r="N55" s="369"/>
      <c r="O55" s="369"/>
      <c r="P55" s="369"/>
    </row>
    <row r="56" spans="1:16" ht="11.25" customHeight="1" x14ac:dyDescent="0.25">
      <c r="A56" s="190" t="s">
        <v>2194</v>
      </c>
      <c r="B56" s="293"/>
      <c r="C56" s="1606">
        <v>878396</v>
      </c>
      <c r="D56" s="1606">
        <v>98422</v>
      </c>
      <c r="E56" s="1628">
        <v>86097</v>
      </c>
      <c r="F56" s="1629">
        <v>98519</v>
      </c>
      <c r="G56" s="1606">
        <v>97700</v>
      </c>
      <c r="H56" s="1628">
        <v>97700</v>
      </c>
      <c r="I56" s="1630">
        <v>50756</v>
      </c>
      <c r="J56" s="1608">
        <v>55212</v>
      </c>
      <c r="K56" s="1606">
        <f t="shared" si="6"/>
        <v>58469.507999999994</v>
      </c>
      <c r="L56" s="1628">
        <f t="shared" si="7"/>
        <v>61743.800447999995</v>
      </c>
      <c r="M56" s="369"/>
      <c r="N56" s="369"/>
      <c r="O56" s="369"/>
      <c r="P56" s="369"/>
    </row>
    <row r="57" spans="1:16" ht="11.25" customHeight="1" x14ac:dyDescent="0.25">
      <c r="A57" s="190" t="s">
        <v>1524</v>
      </c>
      <c r="B57" s="293"/>
      <c r="C57" s="1606">
        <v>14410912</v>
      </c>
      <c r="D57" s="1606">
        <v>3666389</v>
      </c>
      <c r="E57" s="1628">
        <f>1734711+'[7]Employee and Council Salary Sum'!$E$25</f>
        <v>1803330</v>
      </c>
      <c r="F57" s="1629">
        <v>1095580</v>
      </c>
      <c r="G57" s="1606">
        <v>2352075.16</v>
      </c>
      <c r="H57" s="1628">
        <v>2352075.16</v>
      </c>
      <c r="I57" s="1630">
        <v>1086187</v>
      </c>
      <c r="J57" s="1608">
        <v>7448885.1200000001</v>
      </c>
      <c r="K57" s="1606">
        <f t="shared" si="6"/>
        <v>7888369.3420799999</v>
      </c>
      <c r="L57" s="1628">
        <f t="shared" si="7"/>
        <v>8330118.0252364799</v>
      </c>
      <c r="M57" s="369"/>
      <c r="N57" s="369"/>
      <c r="O57" s="369"/>
      <c r="P57" s="369"/>
    </row>
    <row r="58" spans="1:16" ht="11.25" customHeight="1" x14ac:dyDescent="0.25">
      <c r="A58" s="190" t="s">
        <v>1652</v>
      </c>
      <c r="B58" s="293"/>
      <c r="C58" s="1606">
        <v>1197823</v>
      </c>
      <c r="D58" s="1606">
        <v>1219442</v>
      </c>
      <c r="E58" s="1628"/>
      <c r="F58" s="1629">
        <v>75000</v>
      </c>
      <c r="G58" s="1606">
        <v>250000</v>
      </c>
      <c r="H58" s="1628">
        <v>250000</v>
      </c>
      <c r="I58" s="1630">
        <v>406117</v>
      </c>
      <c r="J58" s="1608">
        <v>264500</v>
      </c>
      <c r="K58" s="1606">
        <f t="shared" si="6"/>
        <v>280105.5</v>
      </c>
      <c r="L58" s="1628">
        <f t="shared" si="7"/>
        <v>295791.408</v>
      </c>
      <c r="M58" s="369"/>
      <c r="N58" s="369"/>
      <c r="O58" s="369"/>
      <c r="P58" s="369"/>
    </row>
    <row r="59" spans="1:16" ht="11.25" customHeight="1" x14ac:dyDescent="0.25">
      <c r="A59" s="190" t="s">
        <v>1084</v>
      </c>
      <c r="B59" s="293"/>
      <c r="C59" s="1606">
        <v>0</v>
      </c>
      <c r="D59" s="1606">
        <v>0</v>
      </c>
      <c r="E59" s="1628">
        <v>990000</v>
      </c>
      <c r="F59" s="1629">
        <v>0</v>
      </c>
      <c r="G59" s="1606">
        <v>0</v>
      </c>
      <c r="H59" s="1628">
        <v>0</v>
      </c>
      <c r="I59" s="1630">
        <v>0</v>
      </c>
      <c r="J59" s="1608">
        <v>0</v>
      </c>
      <c r="K59" s="1606">
        <f t="shared" si="6"/>
        <v>0</v>
      </c>
      <c r="L59" s="1628">
        <f t="shared" si="7"/>
        <v>0</v>
      </c>
      <c r="M59" s="369"/>
      <c r="N59" s="369"/>
      <c r="O59" s="369"/>
      <c r="P59" s="369"/>
    </row>
    <row r="60" spans="1:16" ht="11.25" customHeight="1" x14ac:dyDescent="0.25">
      <c r="A60" s="190" t="s">
        <v>1653</v>
      </c>
      <c r="B60" s="293">
        <v>4</v>
      </c>
      <c r="C60" s="1606">
        <v>0</v>
      </c>
      <c r="D60" s="1606">
        <v>0</v>
      </c>
      <c r="E60" s="1628"/>
      <c r="F60" s="1629">
        <v>0</v>
      </c>
      <c r="G60" s="1606">
        <v>0</v>
      </c>
      <c r="H60" s="1628">
        <v>0</v>
      </c>
      <c r="I60" s="1630">
        <v>0</v>
      </c>
      <c r="J60" s="1608">
        <v>0</v>
      </c>
      <c r="K60" s="1606">
        <f t="shared" si="6"/>
        <v>0</v>
      </c>
      <c r="L60" s="1628">
        <f t="shared" si="7"/>
        <v>0</v>
      </c>
      <c r="M60" s="369"/>
      <c r="N60" s="369"/>
      <c r="O60" s="369"/>
      <c r="P60" s="369"/>
    </row>
    <row r="61" spans="1:16" ht="11.25" customHeight="1" x14ac:dyDescent="0.25">
      <c r="A61" s="413" t="s">
        <v>139</v>
      </c>
      <c r="B61" s="293">
        <v>5</v>
      </c>
      <c r="C61" s="267">
        <f>SUM(C49:C60)</f>
        <v>65886885</v>
      </c>
      <c r="D61" s="267">
        <f t="shared" ref="D61:L61" si="8">SUM(D49:D60)</f>
        <v>63943926</v>
      </c>
      <c r="E61" s="268">
        <f t="shared" si="8"/>
        <v>96797188</v>
      </c>
      <c r="F61" s="269">
        <f t="shared" si="8"/>
        <v>101035795</v>
      </c>
      <c r="G61" s="267">
        <f t="shared" si="8"/>
        <v>99603079.75</v>
      </c>
      <c r="H61" s="268">
        <f t="shared" si="8"/>
        <v>99603079.75</v>
      </c>
      <c r="I61" s="266">
        <f t="shared" si="8"/>
        <v>56915963.659999996</v>
      </c>
      <c r="J61" s="270">
        <f t="shared" si="8"/>
        <v>107340510.12</v>
      </c>
      <c r="K61" s="267">
        <f t="shared" si="8"/>
        <v>113673600.21707998</v>
      </c>
      <c r="L61" s="268">
        <f t="shared" si="8"/>
        <v>120039321.82923649</v>
      </c>
      <c r="M61" s="369"/>
      <c r="N61" s="369"/>
      <c r="O61" s="369"/>
      <c r="P61" s="369"/>
    </row>
    <row r="62" spans="1:16" ht="11.25" customHeight="1" x14ac:dyDescent="0.25">
      <c r="A62" s="414" t="s">
        <v>497</v>
      </c>
      <c r="B62" s="293"/>
      <c r="C62" s="1606">
        <v>0</v>
      </c>
      <c r="D62" s="1606">
        <v>0</v>
      </c>
      <c r="E62" s="1628">
        <v>0</v>
      </c>
      <c r="F62" s="1629">
        <v>0</v>
      </c>
      <c r="G62" s="1606">
        <v>0</v>
      </c>
      <c r="H62" s="1628">
        <v>0</v>
      </c>
      <c r="I62" s="1630">
        <v>0</v>
      </c>
      <c r="J62" s="1608">
        <v>0</v>
      </c>
      <c r="K62" s="1606">
        <v>0</v>
      </c>
      <c r="L62" s="1628">
        <v>0</v>
      </c>
      <c r="M62" s="369"/>
      <c r="N62" s="369"/>
      <c r="O62" s="369"/>
      <c r="P62" s="369"/>
    </row>
    <row r="63" spans="1:16" ht="11.25" customHeight="1" x14ac:dyDescent="0.25">
      <c r="A63" s="326" t="str">
        <f>"Total "&amp;A48</f>
        <v>Total Employee related costs</v>
      </c>
      <c r="B63" s="293">
        <v>1</v>
      </c>
      <c r="C63" s="267">
        <f>C61-C62</f>
        <v>65886885</v>
      </c>
      <c r="D63" s="267">
        <f t="shared" ref="D63:L63" si="9">D61-D62</f>
        <v>63943926</v>
      </c>
      <c r="E63" s="268">
        <f t="shared" si="9"/>
        <v>96797188</v>
      </c>
      <c r="F63" s="269">
        <f t="shared" si="9"/>
        <v>101035795</v>
      </c>
      <c r="G63" s="267">
        <f t="shared" si="9"/>
        <v>99603079.75</v>
      </c>
      <c r="H63" s="268">
        <f t="shared" si="9"/>
        <v>99603079.75</v>
      </c>
      <c r="I63" s="266">
        <f t="shared" si="9"/>
        <v>56915963.659999996</v>
      </c>
      <c r="J63" s="270">
        <f t="shared" si="9"/>
        <v>107340510.12</v>
      </c>
      <c r="K63" s="267">
        <f t="shared" si="9"/>
        <v>113673600.21707998</v>
      </c>
      <c r="L63" s="268">
        <f t="shared" si="9"/>
        <v>120039321.82923649</v>
      </c>
      <c r="M63" s="369"/>
      <c r="N63" s="369"/>
      <c r="O63" s="369"/>
      <c r="P63" s="369"/>
    </row>
    <row r="64" spans="1:16" ht="5.0999999999999996" customHeight="1" x14ac:dyDescent="0.25">
      <c r="A64" s="201"/>
      <c r="B64" s="293"/>
      <c r="C64" s="203"/>
      <c r="D64" s="203"/>
      <c r="E64" s="204"/>
      <c r="F64" s="205"/>
      <c r="G64" s="203"/>
      <c r="H64" s="204"/>
      <c r="I64" s="202"/>
      <c r="J64" s="206"/>
      <c r="K64" s="203"/>
      <c r="L64" s="204"/>
      <c r="M64" s="369"/>
      <c r="N64" s="369"/>
      <c r="O64" s="369"/>
      <c r="P64" s="369"/>
    </row>
    <row r="65" spans="1:16" ht="11.25" customHeight="1" x14ac:dyDescent="0.25">
      <c r="A65" s="181" t="s">
        <v>813</v>
      </c>
      <c r="B65" s="293"/>
      <c r="C65" s="1286"/>
      <c r="D65" s="1286"/>
      <c r="E65" s="1326"/>
      <c r="F65" s="1327"/>
      <c r="G65" s="1286"/>
      <c r="H65" s="1326"/>
      <c r="I65" s="1328"/>
      <c r="J65" s="1287"/>
      <c r="K65" s="1286"/>
      <c r="L65" s="1326"/>
      <c r="M65" s="369"/>
      <c r="N65" s="369"/>
      <c r="O65" s="369"/>
      <c r="P65" s="369"/>
    </row>
    <row r="66" spans="1:16" ht="11.25" customHeight="1" x14ac:dyDescent="0.25">
      <c r="A66" s="1686" t="s">
        <v>814</v>
      </c>
      <c r="B66" s="293"/>
      <c r="C66" s="1606"/>
      <c r="D66" s="1606"/>
      <c r="E66" s="1628"/>
      <c r="F66" s="1629"/>
      <c r="G66" s="1606"/>
      <c r="H66" s="1628"/>
      <c r="I66" s="1630"/>
      <c r="J66" s="1608"/>
      <c r="K66" s="1606"/>
      <c r="L66" s="1628"/>
      <c r="M66" s="369"/>
      <c r="N66" s="369"/>
      <c r="O66" s="369"/>
      <c r="P66" s="369"/>
    </row>
    <row r="67" spans="1:16" ht="11.25" customHeight="1" x14ac:dyDescent="0.25">
      <c r="A67" s="1686"/>
      <c r="B67" s="293"/>
      <c r="C67" s="1606"/>
      <c r="D67" s="1606"/>
      <c r="E67" s="1628"/>
      <c r="F67" s="1629"/>
      <c r="G67" s="1606"/>
      <c r="H67" s="1628"/>
      <c r="I67" s="1630"/>
      <c r="J67" s="1608"/>
      <c r="K67" s="1606"/>
      <c r="L67" s="1628"/>
      <c r="M67" s="369"/>
      <c r="N67" s="369"/>
      <c r="O67" s="369"/>
      <c r="P67" s="369"/>
    </row>
    <row r="68" spans="1:16" ht="11.25" customHeight="1" x14ac:dyDescent="0.25">
      <c r="A68" s="1686"/>
      <c r="B68" s="293"/>
      <c r="C68" s="1606"/>
      <c r="D68" s="1606"/>
      <c r="E68" s="1628"/>
      <c r="F68" s="1629"/>
      <c r="G68" s="1606"/>
      <c r="H68" s="1628"/>
      <c r="I68" s="1630"/>
      <c r="J68" s="1608"/>
      <c r="K68" s="1606"/>
      <c r="L68" s="1628"/>
      <c r="M68" s="369"/>
      <c r="N68" s="369"/>
      <c r="O68" s="369"/>
      <c r="P68" s="369"/>
    </row>
    <row r="69" spans="1:16" ht="11.25" customHeight="1" x14ac:dyDescent="0.25">
      <c r="A69" s="1686"/>
      <c r="B69" s="293"/>
      <c r="C69" s="1606"/>
      <c r="D69" s="1606"/>
      <c r="E69" s="1628"/>
      <c r="F69" s="1629"/>
      <c r="G69" s="1606"/>
      <c r="H69" s="1628"/>
      <c r="I69" s="1630"/>
      <c r="J69" s="1608"/>
      <c r="K69" s="1606"/>
      <c r="L69" s="1628"/>
      <c r="M69" s="369"/>
      <c r="N69" s="369"/>
      <c r="O69" s="369"/>
      <c r="P69" s="369"/>
    </row>
    <row r="70" spans="1:16" ht="11.25" customHeight="1" x14ac:dyDescent="0.25">
      <c r="A70" s="1686"/>
      <c r="B70" s="293"/>
      <c r="C70" s="1606"/>
      <c r="D70" s="1606"/>
      <c r="E70" s="1628"/>
      <c r="F70" s="1629"/>
      <c r="G70" s="1606"/>
      <c r="H70" s="1628"/>
      <c r="I70" s="1630"/>
      <c r="J70" s="1608"/>
      <c r="K70" s="1606"/>
      <c r="L70" s="1628"/>
      <c r="M70" s="369"/>
      <c r="N70" s="369"/>
      <c r="O70" s="369"/>
      <c r="P70" s="369"/>
    </row>
    <row r="71" spans="1:16" ht="11.25" customHeight="1" x14ac:dyDescent="0.25">
      <c r="A71" s="1686"/>
      <c r="B71" s="293"/>
      <c r="C71" s="1606"/>
      <c r="D71" s="1606"/>
      <c r="E71" s="1628"/>
      <c r="F71" s="1629"/>
      <c r="G71" s="1606"/>
      <c r="H71" s="1628"/>
      <c r="I71" s="1630"/>
      <c r="J71" s="1608"/>
      <c r="K71" s="1606"/>
      <c r="L71" s="1628"/>
      <c r="M71" s="369"/>
      <c r="N71" s="369"/>
      <c r="O71" s="369"/>
      <c r="P71" s="369"/>
    </row>
    <row r="72" spans="1:16" ht="11.25" customHeight="1" x14ac:dyDescent="0.25">
      <c r="A72" s="326" t="str">
        <f>"Total "&amp;A65</f>
        <v>Total Contributions recognised - capital</v>
      </c>
      <c r="B72" s="293"/>
      <c r="C72" s="213">
        <f t="shared" ref="C72:L72" si="10">SUM(C66:C71)</f>
        <v>0</v>
      </c>
      <c r="D72" s="213">
        <f t="shared" si="10"/>
        <v>0</v>
      </c>
      <c r="E72" s="214">
        <f t="shared" si="10"/>
        <v>0</v>
      </c>
      <c r="F72" s="215">
        <f t="shared" si="10"/>
        <v>0</v>
      </c>
      <c r="G72" s="213">
        <f t="shared" si="10"/>
        <v>0</v>
      </c>
      <c r="H72" s="214">
        <f t="shared" si="10"/>
        <v>0</v>
      </c>
      <c r="I72" s="212">
        <f t="shared" si="10"/>
        <v>0</v>
      </c>
      <c r="J72" s="216">
        <f t="shared" si="10"/>
        <v>0</v>
      </c>
      <c r="K72" s="213">
        <f t="shared" si="10"/>
        <v>0</v>
      </c>
      <c r="L72" s="214">
        <f t="shared" si="10"/>
        <v>0</v>
      </c>
      <c r="M72" s="369"/>
      <c r="N72" s="369"/>
      <c r="O72" s="369"/>
      <c r="P72" s="369"/>
    </row>
    <row r="73" spans="1:16" ht="5.0999999999999996" customHeight="1" x14ac:dyDescent="0.25">
      <c r="A73" s="201"/>
      <c r="B73" s="293"/>
      <c r="C73" s="203"/>
      <c r="D73" s="203"/>
      <c r="E73" s="204"/>
      <c r="F73" s="205"/>
      <c r="G73" s="203"/>
      <c r="H73" s="204"/>
      <c r="I73" s="202"/>
      <c r="J73" s="206"/>
      <c r="K73" s="203"/>
      <c r="L73" s="204"/>
      <c r="M73" s="369"/>
      <c r="N73" s="369"/>
      <c r="O73" s="369"/>
      <c r="P73" s="369"/>
    </row>
    <row r="74" spans="1:16" ht="11.25" customHeight="1" x14ac:dyDescent="0.25">
      <c r="A74" s="181" t="str">
        <f>'A4-FinPerf RE'!A28</f>
        <v>Depreciation &amp; asset impairment</v>
      </c>
      <c r="B74" s="293"/>
      <c r="C74" s="203"/>
      <c r="D74" s="203"/>
      <c r="E74" s="204"/>
      <c r="F74" s="205"/>
      <c r="G74" s="203"/>
      <c r="H74" s="204"/>
      <c r="I74" s="202"/>
      <c r="J74" s="206"/>
      <c r="K74" s="203"/>
      <c r="L74" s="204"/>
      <c r="M74" s="369"/>
      <c r="N74" s="369"/>
      <c r="O74" s="369"/>
      <c r="P74" s="369"/>
    </row>
    <row r="75" spans="1:16" ht="11.25" customHeight="1" x14ac:dyDescent="0.25">
      <c r="A75" s="325" t="s">
        <v>1575</v>
      </c>
      <c r="B75" s="293"/>
      <c r="C75" s="1606">
        <v>64066096</v>
      </c>
      <c r="D75" s="1606">
        <v>149019344</v>
      </c>
      <c r="E75" s="1628">
        <v>130728341</v>
      </c>
      <c r="F75" s="1629">
        <v>174084397.236</v>
      </c>
      <c r="G75" s="1606">
        <v>43649999.996000007</v>
      </c>
      <c r="H75" s="1628">
        <v>43649999.996000007</v>
      </c>
      <c r="I75" s="1630">
        <v>0</v>
      </c>
      <c r="J75" s="1608">
        <f>A3A!I197+A3A!I198+A3A!I199+A3A!I200+A3A!I201+A3A!I202+A3A!I203+A3A!I204</f>
        <v>151000100</v>
      </c>
      <c r="K75" s="1606">
        <f>J75*1.059</f>
        <v>159909105.90000001</v>
      </c>
      <c r="L75" s="1628">
        <f>K75*1.056</f>
        <v>168864015.83040002</v>
      </c>
      <c r="M75" s="369"/>
      <c r="N75" s="369"/>
      <c r="O75" s="369"/>
      <c r="P75" s="369"/>
    </row>
    <row r="76" spans="1:16" ht="11.25" customHeight="1" x14ac:dyDescent="0.25">
      <c r="A76" s="325" t="s">
        <v>951</v>
      </c>
      <c r="B76" s="293"/>
      <c r="C76" s="1606"/>
      <c r="D76" s="1606"/>
      <c r="E76" s="1628"/>
      <c r="F76" s="1629"/>
      <c r="G76" s="1606"/>
      <c r="H76" s="1628"/>
      <c r="I76" s="1630"/>
      <c r="J76" s="1608"/>
      <c r="K76" s="1606"/>
      <c r="L76" s="1628"/>
      <c r="M76" s="369"/>
      <c r="N76" s="369"/>
      <c r="O76" s="369"/>
      <c r="P76" s="369"/>
    </row>
    <row r="77" spans="1:16" ht="11.25" customHeight="1" x14ac:dyDescent="0.25">
      <c r="A77" s="325" t="s">
        <v>1454</v>
      </c>
      <c r="B77" s="293"/>
      <c r="C77" s="1606"/>
      <c r="D77" s="1606"/>
      <c r="E77" s="1628"/>
      <c r="F77" s="1629"/>
      <c r="G77" s="1606"/>
      <c r="H77" s="1628"/>
      <c r="I77" s="1630"/>
      <c r="J77" s="1608"/>
      <c r="K77" s="1606"/>
      <c r="L77" s="1628"/>
      <c r="M77" s="369"/>
      <c r="N77" s="369"/>
      <c r="O77" s="369"/>
      <c r="P77" s="369"/>
    </row>
    <row r="78" spans="1:16" ht="11.25" customHeight="1" x14ac:dyDescent="0.25">
      <c r="A78" s="325" t="s">
        <v>2195</v>
      </c>
      <c r="B78" s="293">
        <v>10</v>
      </c>
      <c r="C78" s="1606"/>
      <c r="D78" s="1606"/>
      <c r="E78" s="1628"/>
      <c r="F78" s="1629"/>
      <c r="G78" s="1606"/>
      <c r="H78" s="1628"/>
      <c r="I78" s="1630"/>
      <c r="J78" s="1608"/>
      <c r="K78" s="1606"/>
      <c r="L78" s="1628"/>
      <c r="M78" s="369"/>
      <c r="N78" s="369"/>
      <c r="O78" s="369"/>
      <c r="P78" s="369"/>
    </row>
    <row r="79" spans="1:16" ht="11.25" customHeight="1" x14ac:dyDescent="0.25">
      <c r="A79" s="326" t="str">
        <f>"Total "&amp;LEFT(A74,35)</f>
        <v>Total Depreciation &amp; asset impairment</v>
      </c>
      <c r="B79" s="293">
        <v>1</v>
      </c>
      <c r="C79" s="213">
        <f>SUM(C75:C77)-C78</f>
        <v>64066096</v>
      </c>
      <c r="D79" s="213">
        <f t="shared" ref="D79:L79" si="11">SUM(D75:D77)-D78</f>
        <v>149019344</v>
      </c>
      <c r="E79" s="214">
        <f t="shared" si="11"/>
        <v>130728341</v>
      </c>
      <c r="F79" s="215">
        <f t="shared" si="11"/>
        <v>174084397.236</v>
      </c>
      <c r="G79" s="213">
        <f t="shared" si="11"/>
        <v>43649999.996000007</v>
      </c>
      <c r="H79" s="214">
        <f t="shared" si="11"/>
        <v>43649999.996000007</v>
      </c>
      <c r="I79" s="212">
        <f t="shared" si="11"/>
        <v>0</v>
      </c>
      <c r="J79" s="216">
        <f>SUM(J75:J77)-J78</f>
        <v>151000100</v>
      </c>
      <c r="K79" s="213">
        <f t="shared" si="11"/>
        <v>159909105.90000001</v>
      </c>
      <c r="L79" s="214">
        <f t="shared" si="11"/>
        <v>168864015.83040002</v>
      </c>
      <c r="M79" s="369"/>
      <c r="N79" s="369"/>
      <c r="O79" s="369"/>
      <c r="P79" s="369"/>
    </row>
    <row r="80" spans="1:16" ht="5.0999999999999996" customHeight="1" x14ac:dyDescent="0.25">
      <c r="A80" s="326"/>
      <c r="B80" s="293"/>
      <c r="C80" s="218"/>
      <c r="D80" s="218"/>
      <c r="E80" s="219"/>
      <c r="F80" s="220"/>
      <c r="G80" s="218"/>
      <c r="H80" s="219"/>
      <c r="I80" s="217"/>
      <c r="J80" s="221"/>
      <c r="K80" s="218"/>
      <c r="L80" s="219"/>
      <c r="M80" s="369"/>
      <c r="N80" s="369"/>
      <c r="O80" s="369"/>
      <c r="P80" s="369"/>
    </row>
    <row r="81" spans="1:16" ht="11.25" customHeight="1" x14ac:dyDescent="0.25">
      <c r="A81" s="181" t="str">
        <f>'A4-FinPerf RE'!A30</f>
        <v>Bulk purchases</v>
      </c>
      <c r="B81" s="293"/>
      <c r="C81" s="218"/>
      <c r="D81" s="218"/>
      <c r="E81" s="219"/>
      <c r="F81" s="220"/>
      <c r="G81" s="218"/>
      <c r="H81" s="219"/>
      <c r="I81" s="217"/>
      <c r="J81" s="221"/>
      <c r="K81" s="218"/>
      <c r="L81" s="219"/>
      <c r="M81" s="369"/>
      <c r="N81" s="369"/>
      <c r="O81" s="369"/>
      <c r="P81" s="369"/>
    </row>
    <row r="82" spans="1:16" ht="11.25" customHeight="1" x14ac:dyDescent="0.25">
      <c r="A82" s="190" t="s">
        <v>1200</v>
      </c>
      <c r="B82" s="293"/>
      <c r="C82" s="1606"/>
      <c r="D82" s="1606"/>
      <c r="E82" s="1628"/>
      <c r="F82" s="1629"/>
      <c r="G82" s="1606"/>
      <c r="H82" s="1628"/>
      <c r="I82" s="1630"/>
      <c r="J82" s="1608"/>
      <c r="K82" s="1606"/>
      <c r="L82" s="1628"/>
      <c r="M82" s="369"/>
      <c r="N82" s="369"/>
      <c r="O82" s="369"/>
      <c r="P82" s="369"/>
    </row>
    <row r="83" spans="1:16" ht="11.25" customHeight="1" x14ac:dyDescent="0.25">
      <c r="A83" s="190" t="s">
        <v>1201</v>
      </c>
      <c r="B83" s="293"/>
      <c r="C83" s="1606">
        <v>97566825</v>
      </c>
      <c r="D83" s="1606"/>
      <c r="E83" s="1628">
        <v>110950867</v>
      </c>
      <c r="F83" s="1629">
        <v>100000000</v>
      </c>
      <c r="G83" s="1606">
        <v>62054205.450000003</v>
      </c>
      <c r="H83" s="1628">
        <v>62054205.450000003</v>
      </c>
      <c r="I83" s="1630">
        <v>50243531</v>
      </c>
      <c r="J83" s="1608">
        <f>A3A!I482</f>
        <v>149641061</v>
      </c>
      <c r="K83" s="1606">
        <f>J83*1.059</f>
        <v>158469883.59899998</v>
      </c>
      <c r="L83" s="1628">
        <f>K83*1.056</f>
        <v>167344197.08054399</v>
      </c>
      <c r="M83" s="369"/>
      <c r="N83" s="369"/>
      <c r="O83" s="369"/>
      <c r="P83" s="369"/>
    </row>
    <row r="84" spans="1:16" ht="10.5" customHeight="1" x14ac:dyDescent="0.25">
      <c r="A84" s="326" t="s">
        <v>1202</v>
      </c>
      <c r="B84" s="293">
        <v>1</v>
      </c>
      <c r="C84" s="213">
        <f>SUM(C82:C83)</f>
        <v>97566825</v>
      </c>
      <c r="D84" s="213">
        <f t="shared" ref="D84:L84" si="12">SUM(D82:D83)</f>
        <v>0</v>
      </c>
      <c r="E84" s="214">
        <f t="shared" si="12"/>
        <v>110950867</v>
      </c>
      <c r="F84" s="215">
        <f t="shared" si="12"/>
        <v>100000000</v>
      </c>
      <c r="G84" s="213">
        <f t="shared" si="12"/>
        <v>62054205.450000003</v>
      </c>
      <c r="H84" s="214">
        <f t="shared" si="12"/>
        <v>62054205.450000003</v>
      </c>
      <c r="I84" s="212">
        <f t="shared" si="12"/>
        <v>50243531</v>
      </c>
      <c r="J84" s="216">
        <f t="shared" si="12"/>
        <v>149641061</v>
      </c>
      <c r="K84" s="213">
        <f t="shared" si="12"/>
        <v>158469883.59899998</v>
      </c>
      <c r="L84" s="214">
        <f t="shared" si="12"/>
        <v>167344197.08054399</v>
      </c>
      <c r="M84" s="369"/>
      <c r="N84" s="369"/>
      <c r="O84" s="369"/>
      <c r="P84" s="369"/>
    </row>
    <row r="85" spans="1:16" ht="4.5" customHeight="1" x14ac:dyDescent="0.25">
      <c r="A85" s="326"/>
      <c r="B85" s="293"/>
      <c r="C85" s="218"/>
      <c r="D85" s="218"/>
      <c r="E85" s="219"/>
      <c r="F85" s="220"/>
      <c r="G85" s="218"/>
      <c r="H85" s="219"/>
      <c r="I85" s="217"/>
      <c r="J85" s="221"/>
      <c r="K85" s="218"/>
      <c r="L85" s="219"/>
      <c r="M85" s="369"/>
      <c r="N85" s="369"/>
      <c r="O85" s="369"/>
      <c r="P85" s="369"/>
    </row>
    <row r="86" spans="1:16" ht="12.75" customHeight="1" x14ac:dyDescent="0.25">
      <c r="A86" s="181" t="s">
        <v>783</v>
      </c>
      <c r="B86" s="293"/>
      <c r="C86" s="218"/>
      <c r="D86" s="218"/>
      <c r="E86" s="219"/>
      <c r="F86" s="220"/>
      <c r="G86" s="218"/>
      <c r="H86" s="219"/>
      <c r="I86" s="217"/>
      <c r="J86" s="221"/>
      <c r="K86" s="218"/>
      <c r="L86" s="219"/>
      <c r="M86" s="369"/>
      <c r="N86" s="369"/>
      <c r="O86" s="369"/>
      <c r="P86" s="369"/>
    </row>
    <row r="87" spans="1:16" ht="12.75" customHeight="1" x14ac:dyDescent="0.25">
      <c r="A87" s="190" t="s">
        <v>2186</v>
      </c>
      <c r="B87" s="293"/>
      <c r="C87" s="1059">
        <f>'SA21'!C34</f>
        <v>1740432</v>
      </c>
      <c r="D87" s="1059">
        <f>'SA21'!D34</f>
        <v>0</v>
      </c>
      <c r="E87" s="1060">
        <f>'SA21'!E34</f>
        <v>0</v>
      </c>
      <c r="F87" s="1061">
        <f>'SA21'!F34</f>
        <v>20100543.648256004</v>
      </c>
      <c r="G87" s="1059">
        <f>'SA21'!G34</f>
        <v>19224237.268256001</v>
      </c>
      <c r="H87" s="1060">
        <f>'SA21'!H34</f>
        <v>19224237.268256001</v>
      </c>
      <c r="I87" s="1062">
        <f>'SA21'!I34</f>
        <v>9470720</v>
      </c>
      <c r="J87" s="1063">
        <f>'SA21'!J34</f>
        <v>0</v>
      </c>
      <c r="K87" s="1059">
        <f>'SA21'!K34</f>
        <v>0</v>
      </c>
      <c r="L87" s="1060">
        <f>'SA21'!L34</f>
        <v>0</v>
      </c>
      <c r="M87" s="369"/>
      <c r="N87" s="369"/>
      <c r="O87" s="369"/>
      <c r="P87" s="369"/>
    </row>
    <row r="88" spans="1:16" ht="12.75" customHeight="1" x14ac:dyDescent="0.25">
      <c r="A88" s="190" t="s">
        <v>2187</v>
      </c>
      <c r="B88" s="293"/>
      <c r="C88" s="1059">
        <f>'SA21'!C65</f>
        <v>0</v>
      </c>
      <c r="D88" s="1059">
        <f>'SA21'!D65</f>
        <v>0</v>
      </c>
      <c r="E88" s="1060">
        <f>'SA21'!E65</f>
        <v>2842000</v>
      </c>
      <c r="F88" s="1061">
        <f>'SA21'!F65</f>
        <v>0</v>
      </c>
      <c r="G88" s="1059">
        <f>'SA21'!G65</f>
        <v>0</v>
      </c>
      <c r="H88" s="1060">
        <f>'SA21'!H65</f>
        <v>0</v>
      </c>
      <c r="I88" s="1062">
        <f>'SA21'!I65</f>
        <v>0</v>
      </c>
      <c r="J88" s="1063">
        <f>'SA21'!J65</f>
        <v>18561640</v>
      </c>
      <c r="K88" s="1059">
        <f>'SA21'!K65</f>
        <v>19656776.759999998</v>
      </c>
      <c r="L88" s="1060">
        <f>'SA21'!L65</f>
        <v>20757556.258560002</v>
      </c>
      <c r="M88" s="369"/>
      <c r="N88" s="369"/>
      <c r="O88" s="369"/>
      <c r="P88" s="369"/>
    </row>
    <row r="89" spans="1:16" ht="12.75" customHeight="1" x14ac:dyDescent="0.25">
      <c r="A89" s="326" t="s">
        <v>2188</v>
      </c>
      <c r="B89" s="293">
        <v>1</v>
      </c>
      <c r="C89" s="213">
        <f>SUM(C87:C88)</f>
        <v>1740432</v>
      </c>
      <c r="D89" s="213">
        <f t="shared" ref="D89:L89" si="13">SUM(D87:D88)</f>
        <v>0</v>
      </c>
      <c r="E89" s="214">
        <f t="shared" si="13"/>
        <v>2842000</v>
      </c>
      <c r="F89" s="215">
        <f t="shared" si="13"/>
        <v>20100543.648256004</v>
      </c>
      <c r="G89" s="213">
        <f t="shared" si="13"/>
        <v>19224237.268256001</v>
      </c>
      <c r="H89" s="214">
        <f t="shared" si="13"/>
        <v>19224237.268256001</v>
      </c>
      <c r="I89" s="212">
        <f t="shared" si="13"/>
        <v>9470720</v>
      </c>
      <c r="J89" s="216">
        <f t="shared" si="13"/>
        <v>18561640</v>
      </c>
      <c r="K89" s="213">
        <f t="shared" si="13"/>
        <v>19656776.759999998</v>
      </c>
      <c r="L89" s="214">
        <f t="shared" si="13"/>
        <v>20757556.258560002</v>
      </c>
      <c r="M89" s="369"/>
      <c r="N89" s="369"/>
      <c r="O89" s="369"/>
      <c r="P89" s="369"/>
    </row>
    <row r="90" spans="1:16" ht="4.5" customHeight="1" x14ac:dyDescent="0.25">
      <c r="A90" s="326"/>
      <c r="B90" s="293"/>
      <c r="C90" s="218"/>
      <c r="D90" s="218"/>
      <c r="E90" s="219"/>
      <c r="F90" s="220"/>
      <c r="G90" s="218"/>
      <c r="H90" s="219"/>
      <c r="I90" s="217"/>
      <c r="J90" s="221"/>
      <c r="K90" s="218"/>
      <c r="L90" s="219"/>
      <c r="M90" s="369"/>
      <c r="N90" s="369"/>
      <c r="O90" s="369"/>
      <c r="P90" s="369"/>
    </row>
    <row r="91" spans="1:16" ht="11.25" customHeight="1" x14ac:dyDescent="0.25">
      <c r="A91" s="181" t="str">
        <f>'A4-FinPerf RE'!A32</f>
        <v>Contracted services</v>
      </c>
      <c r="B91" s="293"/>
      <c r="C91" s="203"/>
      <c r="D91" s="203"/>
      <c r="E91" s="204"/>
      <c r="F91" s="205"/>
      <c r="G91" s="203"/>
      <c r="H91" s="204"/>
      <c r="I91" s="202"/>
      <c r="J91" s="206"/>
      <c r="K91" s="203"/>
      <c r="L91" s="204"/>
      <c r="M91" s="369"/>
      <c r="N91" s="369"/>
      <c r="O91" s="369"/>
      <c r="P91" s="369"/>
    </row>
    <row r="92" spans="1:16" ht="11.25" customHeight="1" x14ac:dyDescent="0.25">
      <c r="A92" s="1686" t="s">
        <v>2620</v>
      </c>
      <c r="B92" s="293"/>
      <c r="C92" s="1606"/>
      <c r="D92" s="1606"/>
      <c r="E92" s="1628">
        <v>10084751</v>
      </c>
      <c r="F92" s="1629">
        <v>6000000</v>
      </c>
      <c r="G92" s="1606">
        <v>6000000</v>
      </c>
      <c r="H92" s="1628">
        <v>6000000</v>
      </c>
      <c r="I92" s="1630">
        <v>5909455</v>
      </c>
      <c r="J92" s="1608">
        <f>A3A!I686</f>
        <v>11000000</v>
      </c>
      <c r="K92" s="1606">
        <f>J92*1.059</f>
        <v>11649000</v>
      </c>
      <c r="L92" s="1628">
        <f>K92*1.056</f>
        <v>12301344</v>
      </c>
      <c r="M92" s="369"/>
      <c r="N92" s="369"/>
      <c r="O92" s="369"/>
      <c r="P92" s="369"/>
    </row>
    <row r="93" spans="1:16" ht="11.25" customHeight="1" x14ac:dyDescent="0.25">
      <c r="A93" s="1686" t="s">
        <v>2621</v>
      </c>
      <c r="B93" s="293"/>
      <c r="C93" s="1606"/>
      <c r="D93" s="1606"/>
      <c r="E93" s="1628"/>
      <c r="F93" s="1629">
        <v>300000</v>
      </c>
      <c r="G93" s="1606">
        <v>0</v>
      </c>
      <c r="H93" s="1628">
        <v>0</v>
      </c>
      <c r="I93" s="1630"/>
      <c r="J93" s="1608"/>
      <c r="K93" s="1606"/>
      <c r="L93" s="1628"/>
      <c r="M93" s="369"/>
      <c r="N93" s="369"/>
      <c r="O93" s="369"/>
      <c r="P93" s="369"/>
    </row>
    <row r="94" spans="1:16" ht="11.25" customHeight="1" x14ac:dyDescent="0.25">
      <c r="A94" s="1686"/>
      <c r="B94" s="293"/>
      <c r="C94" s="1606"/>
      <c r="D94" s="1606"/>
      <c r="E94" s="1628"/>
      <c r="F94" s="1629"/>
      <c r="G94" s="1606"/>
      <c r="H94" s="1628"/>
      <c r="I94" s="1630"/>
      <c r="J94" s="1608"/>
      <c r="K94" s="1606"/>
      <c r="L94" s="1628"/>
      <c r="M94" s="369"/>
      <c r="N94" s="369"/>
      <c r="O94" s="369"/>
      <c r="P94" s="369"/>
    </row>
    <row r="95" spans="1:16" ht="11.25" customHeight="1" x14ac:dyDescent="0.25">
      <c r="A95" s="1686"/>
      <c r="B95" s="293"/>
      <c r="C95" s="1606"/>
      <c r="D95" s="1606"/>
      <c r="E95" s="1628"/>
      <c r="F95" s="1629"/>
      <c r="G95" s="1606"/>
      <c r="H95" s="1628"/>
      <c r="I95" s="1630"/>
      <c r="J95" s="1608"/>
      <c r="K95" s="1606"/>
      <c r="L95" s="1628"/>
      <c r="M95" s="369"/>
      <c r="N95" s="369"/>
      <c r="O95" s="369"/>
      <c r="P95" s="369"/>
    </row>
    <row r="96" spans="1:16" ht="11.25" customHeight="1" x14ac:dyDescent="0.25">
      <c r="A96" s="1686"/>
      <c r="B96" s="293"/>
      <c r="C96" s="1606"/>
      <c r="D96" s="1606"/>
      <c r="E96" s="1628"/>
      <c r="F96" s="1629"/>
      <c r="G96" s="1606"/>
      <c r="H96" s="1628"/>
      <c r="I96" s="1630"/>
      <c r="J96" s="1608"/>
      <c r="K96" s="1606"/>
      <c r="L96" s="1628"/>
      <c r="M96" s="369"/>
      <c r="N96" s="369"/>
      <c r="O96" s="369"/>
      <c r="P96" s="369"/>
    </row>
    <row r="97" spans="1:16" ht="11.25" customHeight="1" x14ac:dyDescent="0.25">
      <c r="A97" s="1686"/>
      <c r="B97" s="293"/>
      <c r="C97" s="1606"/>
      <c r="D97" s="1606"/>
      <c r="E97" s="1628"/>
      <c r="F97" s="1629"/>
      <c r="G97" s="1606"/>
      <c r="H97" s="1628"/>
      <c r="I97" s="1630"/>
      <c r="J97" s="1608"/>
      <c r="K97" s="1606"/>
      <c r="L97" s="1628"/>
      <c r="M97" s="369"/>
      <c r="N97" s="369"/>
      <c r="O97" s="369"/>
      <c r="P97" s="369"/>
    </row>
    <row r="98" spans="1:16" ht="11.25" customHeight="1" x14ac:dyDescent="0.25">
      <c r="A98" s="1686"/>
      <c r="B98" s="293"/>
      <c r="C98" s="1606"/>
      <c r="D98" s="1606"/>
      <c r="E98" s="1628"/>
      <c r="F98" s="1629"/>
      <c r="G98" s="1606"/>
      <c r="H98" s="1628"/>
      <c r="I98" s="1630"/>
      <c r="J98" s="1608"/>
      <c r="K98" s="1606"/>
      <c r="L98" s="1628"/>
      <c r="M98" s="369"/>
      <c r="N98" s="369"/>
      <c r="O98" s="369"/>
      <c r="P98" s="369"/>
    </row>
    <row r="99" spans="1:16" ht="11.25" customHeight="1" x14ac:dyDescent="0.25">
      <c r="A99" s="1686"/>
      <c r="B99" s="293"/>
      <c r="C99" s="1606"/>
      <c r="D99" s="1606"/>
      <c r="E99" s="1628"/>
      <c r="F99" s="1629"/>
      <c r="G99" s="1606"/>
      <c r="H99" s="1628"/>
      <c r="I99" s="1630"/>
      <c r="J99" s="1608"/>
      <c r="K99" s="1606"/>
      <c r="L99" s="1628"/>
      <c r="M99" s="369"/>
      <c r="N99" s="369"/>
      <c r="O99" s="369"/>
      <c r="P99" s="369"/>
    </row>
    <row r="100" spans="1:16" ht="11.25" customHeight="1" x14ac:dyDescent="0.25">
      <c r="A100" s="1686"/>
      <c r="B100" s="293"/>
      <c r="C100" s="1606"/>
      <c r="D100" s="1606"/>
      <c r="E100" s="1628"/>
      <c r="F100" s="1629"/>
      <c r="G100" s="1606"/>
      <c r="H100" s="1628"/>
      <c r="I100" s="1630"/>
      <c r="J100" s="1608"/>
      <c r="K100" s="1606"/>
      <c r="L100" s="1628"/>
      <c r="M100" s="369"/>
      <c r="N100" s="369"/>
      <c r="O100" s="369"/>
      <c r="P100" s="369"/>
    </row>
    <row r="101" spans="1:16" ht="11.25" customHeight="1" x14ac:dyDescent="0.25">
      <c r="A101" s="1686"/>
      <c r="B101" s="293"/>
      <c r="C101" s="1606"/>
      <c r="D101" s="1606"/>
      <c r="E101" s="1628"/>
      <c r="F101" s="1629"/>
      <c r="G101" s="1606"/>
      <c r="H101" s="1628"/>
      <c r="I101" s="1630"/>
      <c r="J101" s="1608"/>
      <c r="K101" s="1606"/>
      <c r="L101" s="1628"/>
      <c r="M101" s="369"/>
      <c r="N101" s="369"/>
      <c r="O101" s="369"/>
      <c r="P101" s="369"/>
    </row>
    <row r="102" spans="1:16" ht="11.25" customHeight="1" x14ac:dyDescent="0.25">
      <c r="A102" s="1686"/>
      <c r="B102" s="293"/>
      <c r="C102" s="1606"/>
      <c r="D102" s="1606"/>
      <c r="E102" s="1628"/>
      <c r="F102" s="1629"/>
      <c r="G102" s="1606"/>
      <c r="H102" s="1628"/>
      <c r="I102" s="1630"/>
      <c r="J102" s="1608"/>
      <c r="K102" s="1606"/>
      <c r="L102" s="1628"/>
      <c r="M102" s="369"/>
      <c r="N102" s="369"/>
      <c r="O102" s="369"/>
      <c r="P102" s="369"/>
    </row>
    <row r="103" spans="1:16" ht="11.25" customHeight="1" x14ac:dyDescent="0.25">
      <c r="A103" s="1686"/>
      <c r="B103" s="293"/>
      <c r="C103" s="1606"/>
      <c r="D103" s="1606"/>
      <c r="E103" s="1628"/>
      <c r="F103" s="1629"/>
      <c r="G103" s="1606"/>
      <c r="H103" s="1628"/>
      <c r="I103" s="1630"/>
      <c r="J103" s="1608"/>
      <c r="K103" s="1606"/>
      <c r="L103" s="1628"/>
      <c r="M103" s="369"/>
      <c r="N103" s="369"/>
      <c r="O103" s="369"/>
      <c r="P103" s="369"/>
    </row>
    <row r="104" spans="1:16" ht="11.25" customHeight="1" x14ac:dyDescent="0.25">
      <c r="A104" s="1686"/>
      <c r="B104" s="293"/>
      <c r="C104" s="1606"/>
      <c r="D104" s="1606"/>
      <c r="E104" s="1628"/>
      <c r="F104" s="1629"/>
      <c r="G104" s="1606"/>
      <c r="H104" s="1628"/>
      <c r="I104" s="1630"/>
      <c r="J104" s="1608"/>
      <c r="K104" s="1606"/>
      <c r="L104" s="1628"/>
      <c r="M104" s="369"/>
      <c r="N104" s="369"/>
      <c r="O104" s="369"/>
      <c r="P104" s="369"/>
    </row>
    <row r="105" spans="1:16" ht="11.25" customHeight="1" x14ac:dyDescent="0.25">
      <c r="A105" s="1686"/>
      <c r="B105" s="293"/>
      <c r="C105" s="1606"/>
      <c r="D105" s="1606"/>
      <c r="E105" s="1628"/>
      <c r="F105" s="1629"/>
      <c r="G105" s="1606"/>
      <c r="H105" s="1628"/>
      <c r="I105" s="1630"/>
      <c r="J105" s="1608"/>
      <c r="K105" s="1606"/>
      <c r="L105" s="1628"/>
      <c r="M105" s="369"/>
      <c r="N105" s="369"/>
      <c r="O105" s="369"/>
      <c r="P105" s="369"/>
    </row>
    <row r="106" spans="1:16" ht="11.25" customHeight="1" x14ac:dyDescent="0.25">
      <c r="A106" s="1686"/>
      <c r="B106" s="293"/>
      <c r="C106" s="1606"/>
      <c r="D106" s="1606"/>
      <c r="E106" s="1628"/>
      <c r="F106" s="1629"/>
      <c r="G106" s="1606"/>
      <c r="H106" s="1628"/>
      <c r="I106" s="1630"/>
      <c r="J106" s="1608"/>
      <c r="K106" s="1606"/>
      <c r="L106" s="1628"/>
      <c r="M106" s="369"/>
      <c r="N106" s="369"/>
      <c r="O106" s="369"/>
      <c r="P106" s="369"/>
    </row>
    <row r="107" spans="1:16" ht="11.25" customHeight="1" x14ac:dyDescent="0.25">
      <c r="A107" s="1686"/>
      <c r="B107" s="293"/>
      <c r="C107" s="1606"/>
      <c r="D107" s="1606"/>
      <c r="E107" s="1628"/>
      <c r="F107" s="1629"/>
      <c r="G107" s="1606"/>
      <c r="H107" s="1628"/>
      <c r="I107" s="1630"/>
      <c r="J107" s="1608"/>
      <c r="K107" s="1606"/>
      <c r="L107" s="1628"/>
      <c r="M107" s="369"/>
      <c r="N107" s="369"/>
      <c r="O107" s="369"/>
      <c r="P107" s="369"/>
    </row>
    <row r="108" spans="1:16" ht="11.25" customHeight="1" x14ac:dyDescent="0.25">
      <c r="A108" s="1686"/>
      <c r="B108" s="293"/>
      <c r="C108" s="1606"/>
      <c r="D108" s="1606"/>
      <c r="E108" s="1628"/>
      <c r="F108" s="1629"/>
      <c r="G108" s="1606"/>
      <c r="H108" s="1628"/>
      <c r="I108" s="1630"/>
      <c r="J108" s="1608"/>
      <c r="K108" s="1606"/>
      <c r="L108" s="1628"/>
      <c r="M108" s="369"/>
      <c r="N108" s="369"/>
      <c r="O108" s="369"/>
      <c r="P108" s="369"/>
    </row>
    <row r="109" spans="1:16" ht="11.25" customHeight="1" x14ac:dyDescent="0.25">
      <c r="A109" s="1686"/>
      <c r="B109" s="293"/>
      <c r="C109" s="1606"/>
      <c r="D109" s="1606"/>
      <c r="E109" s="1628"/>
      <c r="F109" s="1629"/>
      <c r="G109" s="1606"/>
      <c r="H109" s="1628"/>
      <c r="I109" s="1630"/>
      <c r="J109" s="1608"/>
      <c r="K109" s="1606"/>
      <c r="L109" s="1628"/>
      <c r="M109" s="369"/>
      <c r="N109" s="369"/>
      <c r="O109" s="369"/>
      <c r="P109" s="369"/>
    </row>
    <row r="110" spans="1:16" ht="11.25" customHeight="1" x14ac:dyDescent="0.25">
      <c r="A110" s="1686"/>
      <c r="B110" s="293"/>
      <c r="C110" s="1606"/>
      <c r="D110" s="1606"/>
      <c r="E110" s="1628"/>
      <c r="F110" s="1629"/>
      <c r="G110" s="1606"/>
      <c r="H110" s="1628"/>
      <c r="I110" s="1630"/>
      <c r="J110" s="1608"/>
      <c r="K110" s="1606"/>
      <c r="L110" s="1628"/>
      <c r="M110" s="369"/>
      <c r="N110" s="369"/>
      <c r="O110" s="369"/>
      <c r="P110" s="369"/>
    </row>
    <row r="111" spans="1:16" ht="11.25" customHeight="1" x14ac:dyDescent="0.25">
      <c r="A111" s="1686"/>
      <c r="B111" s="293"/>
      <c r="C111" s="1606"/>
      <c r="D111" s="1606"/>
      <c r="E111" s="1628"/>
      <c r="F111" s="1629"/>
      <c r="G111" s="1606"/>
      <c r="H111" s="1628"/>
      <c r="I111" s="1630"/>
      <c r="J111" s="1608"/>
      <c r="K111" s="1606"/>
      <c r="L111" s="1628"/>
      <c r="M111" s="369"/>
      <c r="N111" s="369"/>
      <c r="O111" s="369"/>
      <c r="P111" s="369"/>
    </row>
    <row r="112" spans="1:16" ht="11.25" customHeight="1" x14ac:dyDescent="0.25">
      <c r="A112" s="1686"/>
      <c r="B112" s="293"/>
      <c r="C112" s="1606"/>
      <c r="D112" s="1606"/>
      <c r="E112" s="1628"/>
      <c r="F112" s="1629"/>
      <c r="G112" s="1606"/>
      <c r="H112" s="1628"/>
      <c r="I112" s="1630"/>
      <c r="J112" s="1608"/>
      <c r="K112" s="1606"/>
      <c r="L112" s="1628"/>
      <c r="M112" s="369"/>
      <c r="N112" s="369"/>
      <c r="O112" s="369"/>
      <c r="P112" s="369"/>
    </row>
    <row r="113" spans="1:16" ht="11.25" customHeight="1" x14ac:dyDescent="0.25">
      <c r="A113" s="1686"/>
      <c r="B113" s="293"/>
      <c r="C113" s="1606"/>
      <c r="D113" s="1606"/>
      <c r="E113" s="1628"/>
      <c r="F113" s="1629"/>
      <c r="G113" s="1606"/>
      <c r="H113" s="1628"/>
      <c r="I113" s="1630"/>
      <c r="J113" s="1608"/>
      <c r="K113" s="1606"/>
      <c r="L113" s="1628"/>
      <c r="M113" s="369"/>
      <c r="N113" s="369"/>
      <c r="O113" s="369"/>
      <c r="P113" s="369"/>
    </row>
    <row r="114" spans="1:16" ht="11.25" customHeight="1" x14ac:dyDescent="0.25">
      <c r="A114" s="1686"/>
      <c r="B114" s="293"/>
      <c r="C114" s="1606"/>
      <c r="D114" s="1606"/>
      <c r="E114" s="1628"/>
      <c r="F114" s="1629"/>
      <c r="G114" s="1606"/>
      <c r="H114" s="1628"/>
      <c r="I114" s="1630"/>
      <c r="J114" s="1608"/>
      <c r="K114" s="1606"/>
      <c r="L114" s="1628"/>
      <c r="M114" s="369"/>
      <c r="N114" s="369"/>
      <c r="O114" s="369"/>
      <c r="P114" s="369"/>
    </row>
    <row r="115" spans="1:16" ht="11.25" customHeight="1" x14ac:dyDescent="0.25">
      <c r="A115" s="1686"/>
      <c r="B115" s="293"/>
      <c r="C115" s="1606"/>
      <c r="D115" s="1606"/>
      <c r="E115" s="1628"/>
      <c r="F115" s="1629"/>
      <c r="G115" s="1606"/>
      <c r="H115" s="1628"/>
      <c r="I115" s="1630"/>
      <c r="J115" s="1608"/>
      <c r="K115" s="1606"/>
      <c r="L115" s="1628"/>
      <c r="M115" s="369"/>
      <c r="N115" s="369"/>
      <c r="O115" s="369"/>
      <c r="P115" s="369"/>
    </row>
    <row r="116" spans="1:16" ht="11.25" customHeight="1" x14ac:dyDescent="0.25">
      <c r="A116" s="1686"/>
      <c r="B116" s="293"/>
      <c r="C116" s="1606"/>
      <c r="D116" s="1606"/>
      <c r="E116" s="1628"/>
      <c r="F116" s="1629"/>
      <c r="G116" s="1606"/>
      <c r="H116" s="1628"/>
      <c r="I116" s="1630"/>
      <c r="J116" s="1608"/>
      <c r="K116" s="1606"/>
      <c r="L116" s="1628"/>
      <c r="M116" s="369"/>
      <c r="N116" s="369"/>
      <c r="O116" s="369"/>
      <c r="P116" s="369"/>
    </row>
    <row r="117" spans="1:16" ht="11.25" customHeight="1" x14ac:dyDescent="0.25">
      <c r="A117" s="1533" t="s">
        <v>139</v>
      </c>
      <c r="B117" s="293">
        <v>1</v>
      </c>
      <c r="C117" s="213">
        <f t="shared" ref="C117:L117" si="14">SUM(C92:C116)</f>
        <v>0</v>
      </c>
      <c r="D117" s="213">
        <f t="shared" si="14"/>
        <v>0</v>
      </c>
      <c r="E117" s="214">
        <f t="shared" si="14"/>
        <v>10084751</v>
      </c>
      <c r="F117" s="215">
        <f t="shared" si="14"/>
        <v>6300000</v>
      </c>
      <c r="G117" s="213">
        <f t="shared" si="14"/>
        <v>6000000</v>
      </c>
      <c r="H117" s="214">
        <f t="shared" si="14"/>
        <v>6000000</v>
      </c>
      <c r="I117" s="212">
        <f t="shared" si="14"/>
        <v>5909455</v>
      </c>
      <c r="J117" s="216">
        <f t="shared" si="14"/>
        <v>11000000</v>
      </c>
      <c r="K117" s="213">
        <f t="shared" si="14"/>
        <v>11649000</v>
      </c>
      <c r="L117" s="214">
        <f t="shared" si="14"/>
        <v>12301344</v>
      </c>
      <c r="M117" s="369"/>
      <c r="N117" s="369"/>
      <c r="O117" s="369"/>
      <c r="P117" s="369"/>
    </row>
    <row r="118" spans="1:16" ht="11.25" customHeight="1" x14ac:dyDescent="0.25">
      <c r="A118" s="416" t="s">
        <v>1457</v>
      </c>
      <c r="B118" s="293"/>
      <c r="C118" s="218"/>
      <c r="D118" s="218"/>
      <c r="E118" s="219"/>
      <c r="F118" s="220"/>
      <c r="G118" s="218"/>
      <c r="H118" s="219"/>
      <c r="I118" s="217"/>
      <c r="J118" s="221"/>
      <c r="K118" s="218"/>
      <c r="L118" s="219"/>
      <c r="M118" s="369"/>
      <c r="N118" s="369"/>
      <c r="O118" s="369"/>
      <c r="P118" s="369"/>
    </row>
    <row r="119" spans="1:16" ht="11.25" customHeight="1" x14ac:dyDescent="0.25">
      <c r="A119" s="417" t="s">
        <v>649</v>
      </c>
      <c r="B119" s="293"/>
      <c r="C119" s="1641"/>
      <c r="D119" s="1641"/>
      <c r="E119" s="1642"/>
      <c r="F119" s="1643"/>
      <c r="G119" s="1641"/>
      <c r="H119" s="1642"/>
      <c r="I119" s="1644"/>
      <c r="J119" s="1648"/>
      <c r="K119" s="1641"/>
      <c r="L119" s="1642"/>
      <c r="M119" s="369"/>
      <c r="N119" s="369"/>
      <c r="O119" s="369"/>
      <c r="P119" s="369"/>
    </row>
    <row r="120" spans="1:16" ht="11.25" customHeight="1" x14ac:dyDescent="0.25">
      <c r="A120" s="417" t="s">
        <v>948</v>
      </c>
      <c r="B120" s="293"/>
      <c r="C120" s="1641"/>
      <c r="D120" s="1641"/>
      <c r="E120" s="1642"/>
      <c r="F120" s="1643"/>
      <c r="G120" s="1641"/>
      <c r="H120" s="1642"/>
      <c r="I120" s="1644"/>
      <c r="J120" s="1648"/>
      <c r="K120" s="1641"/>
      <c r="L120" s="1642"/>
      <c r="M120" s="369"/>
      <c r="N120" s="369"/>
      <c r="O120" s="369"/>
      <c r="P120" s="369"/>
    </row>
    <row r="121" spans="1:16" ht="11.25" customHeight="1" x14ac:dyDescent="0.25">
      <c r="A121" s="417" t="s">
        <v>949</v>
      </c>
      <c r="B121" s="293"/>
      <c r="C121" s="1641"/>
      <c r="D121" s="1641"/>
      <c r="E121" s="1642"/>
      <c r="F121" s="1643"/>
      <c r="G121" s="1641"/>
      <c r="H121" s="1642"/>
      <c r="I121" s="1644"/>
      <c r="J121" s="1648"/>
      <c r="K121" s="1641"/>
      <c r="L121" s="1642"/>
      <c r="M121" s="369"/>
      <c r="N121" s="369"/>
      <c r="O121" s="369"/>
      <c r="P121" s="369"/>
    </row>
    <row r="122" spans="1:16" ht="11.25" customHeight="1" x14ac:dyDescent="0.25">
      <c r="A122" s="417" t="s">
        <v>292</v>
      </c>
      <c r="B122" s="293"/>
      <c r="C122" s="1641"/>
      <c r="D122" s="1641"/>
      <c r="E122" s="1642"/>
      <c r="F122" s="1643"/>
      <c r="G122" s="1641"/>
      <c r="H122" s="1642"/>
      <c r="I122" s="1644"/>
      <c r="J122" s="1648"/>
      <c r="K122" s="1641"/>
      <c r="L122" s="1642"/>
      <c r="M122" s="369"/>
      <c r="N122" s="369"/>
      <c r="O122" s="369"/>
      <c r="P122" s="369"/>
    </row>
    <row r="123" spans="1:16" ht="11.25" customHeight="1" x14ac:dyDescent="0.25">
      <c r="A123" s="1181" t="s">
        <v>1458</v>
      </c>
      <c r="B123" s="293"/>
      <c r="C123" s="213">
        <f>SUM(C117:C122)</f>
        <v>0</v>
      </c>
      <c r="D123" s="213">
        <f t="shared" ref="D123:L123" si="15">SUM(D117:D122)</f>
        <v>0</v>
      </c>
      <c r="E123" s="214">
        <f t="shared" si="15"/>
        <v>10084751</v>
      </c>
      <c r="F123" s="215">
        <f t="shared" si="15"/>
        <v>6300000</v>
      </c>
      <c r="G123" s="213">
        <f t="shared" si="15"/>
        <v>6000000</v>
      </c>
      <c r="H123" s="214">
        <f t="shared" si="15"/>
        <v>6000000</v>
      </c>
      <c r="I123" s="212">
        <f t="shared" si="15"/>
        <v>5909455</v>
      </c>
      <c r="J123" s="216">
        <f t="shared" si="15"/>
        <v>11000000</v>
      </c>
      <c r="K123" s="213">
        <f t="shared" si="15"/>
        <v>11649000</v>
      </c>
      <c r="L123" s="214">
        <f t="shared" si="15"/>
        <v>12301344</v>
      </c>
      <c r="M123" s="369"/>
      <c r="N123" s="369"/>
      <c r="O123" s="369"/>
      <c r="P123" s="369"/>
    </row>
    <row r="124" spans="1:16" ht="5.0999999999999996" customHeight="1" x14ac:dyDescent="0.25">
      <c r="A124" s="201"/>
      <c r="B124" s="293"/>
      <c r="C124" s="203"/>
      <c r="D124" s="203"/>
      <c r="E124" s="204"/>
      <c r="F124" s="205"/>
      <c r="G124" s="203"/>
      <c r="H124" s="204"/>
      <c r="I124" s="202"/>
      <c r="J124" s="206"/>
      <c r="K124" s="203"/>
      <c r="L124" s="204"/>
      <c r="M124" s="369"/>
      <c r="N124" s="369"/>
      <c r="O124" s="369"/>
      <c r="P124" s="369"/>
    </row>
    <row r="125" spans="1:16" ht="11.25" customHeight="1" x14ac:dyDescent="0.25">
      <c r="A125" s="181" t="s">
        <v>40</v>
      </c>
      <c r="B125" s="295"/>
      <c r="C125" s="203"/>
      <c r="D125" s="203"/>
      <c r="E125" s="204"/>
      <c r="F125" s="205"/>
      <c r="G125" s="203"/>
      <c r="H125" s="204"/>
      <c r="I125" s="202"/>
      <c r="J125" s="206"/>
      <c r="K125" s="203"/>
      <c r="L125" s="204"/>
      <c r="M125" s="369"/>
      <c r="N125" s="369"/>
      <c r="O125" s="369"/>
      <c r="P125" s="369"/>
    </row>
    <row r="126" spans="1:16" ht="11.25" customHeight="1" x14ac:dyDescent="0.25">
      <c r="A126" s="325" t="s">
        <v>476</v>
      </c>
      <c r="B126" s="293"/>
      <c r="C126" s="1606"/>
      <c r="D126" s="1606"/>
      <c r="E126" s="1628"/>
      <c r="F126" s="1629"/>
      <c r="G126" s="1606"/>
      <c r="H126" s="1628"/>
      <c r="I126" s="1630"/>
      <c r="J126" s="1608"/>
      <c r="K126" s="1606"/>
      <c r="L126" s="1628"/>
      <c r="M126" s="369"/>
      <c r="N126" s="369"/>
      <c r="O126" s="369"/>
      <c r="P126" s="369"/>
    </row>
    <row r="127" spans="1:16" ht="11.25" customHeight="1" x14ac:dyDescent="0.25">
      <c r="A127" s="325" t="s">
        <v>1496</v>
      </c>
      <c r="B127" s="293"/>
      <c r="C127" s="1606"/>
      <c r="D127" s="1606"/>
      <c r="E127" s="1628"/>
      <c r="F127" s="1629"/>
      <c r="G127" s="1606"/>
      <c r="H127" s="1628"/>
      <c r="I127" s="1630"/>
      <c r="J127" s="1608"/>
      <c r="K127" s="1606"/>
      <c r="L127" s="1628"/>
      <c r="M127" s="369"/>
      <c r="N127" s="369"/>
      <c r="O127" s="369"/>
      <c r="P127" s="369"/>
    </row>
    <row r="128" spans="1:16" ht="11.25" customHeight="1" x14ac:dyDescent="0.25">
      <c r="A128" s="325" t="s">
        <v>695</v>
      </c>
      <c r="B128" s="293"/>
      <c r="C128" s="1606"/>
      <c r="D128" s="1606"/>
      <c r="E128" s="1628">
        <v>3868259</v>
      </c>
      <c r="F128" s="1629">
        <v>900124</v>
      </c>
      <c r="G128" s="1606">
        <v>951403.33</v>
      </c>
      <c r="H128" s="1628">
        <v>951403.33</v>
      </c>
      <c r="I128" s="1630">
        <v>337584</v>
      </c>
      <c r="J128" s="1608">
        <f>A3A!I409</f>
        <v>0</v>
      </c>
      <c r="K128" s="1606">
        <f>J128*1.059</f>
        <v>0</v>
      </c>
      <c r="L128" s="1628">
        <f>K128*1.056</f>
        <v>0</v>
      </c>
      <c r="M128" s="369"/>
      <c r="N128" s="369"/>
      <c r="O128" s="369"/>
      <c r="P128" s="369"/>
    </row>
    <row r="129" spans="1:16" ht="11.25" customHeight="1" x14ac:dyDescent="0.25">
      <c r="A129" s="325" t="s">
        <v>696</v>
      </c>
      <c r="B129" s="293"/>
      <c r="C129" s="1606"/>
      <c r="D129" s="1606"/>
      <c r="E129" s="1628">
        <v>3318155</v>
      </c>
      <c r="F129" s="1629">
        <v>3500000</v>
      </c>
      <c r="G129" s="1606">
        <v>3500000</v>
      </c>
      <c r="H129" s="1628">
        <v>3500000</v>
      </c>
      <c r="I129" s="1630">
        <v>2059099.62</v>
      </c>
      <c r="J129" s="1608">
        <f>A3A!I211</f>
        <v>2500000</v>
      </c>
      <c r="K129" s="1606">
        <f>J129*1.059</f>
        <v>2647500</v>
      </c>
      <c r="L129" s="1628">
        <f>K129*1.056</f>
        <v>2795760</v>
      </c>
      <c r="M129" s="369"/>
      <c r="N129" s="369"/>
      <c r="O129" s="369"/>
      <c r="P129" s="369"/>
    </row>
    <row r="130" spans="1:16" ht="11.25" customHeight="1" x14ac:dyDescent="0.25">
      <c r="A130" s="190" t="s">
        <v>479</v>
      </c>
      <c r="B130" s="293">
        <v>3</v>
      </c>
      <c r="C130" s="1606"/>
      <c r="D130" s="1606">
        <v>234407510</v>
      </c>
      <c r="E130" s="1628">
        <v>110527239</v>
      </c>
      <c r="F130" s="1629">
        <v>49914000</v>
      </c>
      <c r="G130" s="1606">
        <f>36807750.33+G160</f>
        <v>49936044.739999995</v>
      </c>
      <c r="H130" s="1628">
        <v>49936044.739999995</v>
      </c>
      <c r="I130" s="1630">
        <f>42145324-I128-I129</f>
        <v>39748640.380000003</v>
      </c>
      <c r="J130" s="1608">
        <v>99900780.999999881</v>
      </c>
      <c r="K130" s="1606">
        <v>105794927.079</v>
      </c>
      <c r="L130" s="1628">
        <v>111719442.99542403</v>
      </c>
      <c r="M130" s="369"/>
      <c r="N130" s="369"/>
      <c r="O130" s="369"/>
      <c r="P130" s="369"/>
    </row>
    <row r="131" spans="1:16" ht="11.25" customHeight="1" x14ac:dyDescent="0.25">
      <c r="A131" s="1686" t="s">
        <v>2622</v>
      </c>
      <c r="B131" s="293"/>
      <c r="C131" s="1606"/>
      <c r="D131" s="1606"/>
      <c r="E131" s="1628"/>
      <c r="F131" s="1629">
        <v>5392934</v>
      </c>
      <c r="G131" s="1606"/>
      <c r="H131" s="1628"/>
      <c r="I131" s="1630"/>
      <c r="J131" s="1608">
        <f>A3A!I245</f>
        <v>5630223</v>
      </c>
      <c r="K131" s="1606">
        <f>J131*1.059</f>
        <v>5962406.1569999997</v>
      </c>
      <c r="L131" s="1628">
        <f>K131*1.056</f>
        <v>6296300.901792</v>
      </c>
      <c r="M131" s="369"/>
      <c r="N131" s="369"/>
      <c r="O131" s="369"/>
      <c r="P131" s="369"/>
    </row>
    <row r="132" spans="1:16" ht="11.25" customHeight="1" x14ac:dyDescent="0.25">
      <c r="A132" s="1686" t="s">
        <v>2623</v>
      </c>
      <c r="B132" s="293"/>
      <c r="C132" s="1606"/>
      <c r="D132" s="1606"/>
      <c r="E132" s="1628"/>
      <c r="F132" s="1629">
        <v>3337000</v>
      </c>
      <c r="G132" s="1606"/>
      <c r="H132" s="1628"/>
      <c r="I132" s="1630"/>
      <c r="J132" s="1608">
        <f>A3A!I246</f>
        <v>3483828</v>
      </c>
      <c r="K132" s="1606">
        <f>J132*1.059</f>
        <v>3689373.852</v>
      </c>
      <c r="L132" s="1628">
        <f>K132*1.056</f>
        <v>3895978.7877120003</v>
      </c>
      <c r="M132" s="369"/>
      <c r="N132" s="369"/>
      <c r="O132" s="369"/>
      <c r="P132" s="369"/>
    </row>
    <row r="133" spans="1:16" ht="11.25" customHeight="1" x14ac:dyDescent="0.25">
      <c r="A133" s="1686" t="s">
        <v>2783</v>
      </c>
      <c r="B133" s="293"/>
      <c r="C133" s="1606"/>
      <c r="D133" s="1606"/>
      <c r="E133" s="1628"/>
      <c r="F133" s="1629"/>
      <c r="G133" s="1606"/>
      <c r="H133" s="1628"/>
      <c r="I133" s="1630"/>
      <c r="J133" s="1608">
        <f>A3A!I215</f>
        <v>2637871</v>
      </c>
      <c r="K133" s="1606">
        <f>J133*1.059</f>
        <v>2793505.389</v>
      </c>
      <c r="L133" s="1628">
        <f>K133*1.056</f>
        <v>2949941.6907840003</v>
      </c>
      <c r="M133" s="369"/>
      <c r="N133" s="369"/>
      <c r="O133" s="369"/>
      <c r="P133" s="369"/>
    </row>
    <row r="134" spans="1:16" ht="11.25" customHeight="1" x14ac:dyDescent="0.25">
      <c r="A134" s="1686"/>
      <c r="B134" s="293"/>
      <c r="C134" s="1606"/>
      <c r="D134" s="1606"/>
      <c r="E134" s="1628"/>
      <c r="F134" s="1629"/>
      <c r="G134" s="1606"/>
      <c r="H134" s="1628"/>
      <c r="I134" s="1630"/>
      <c r="J134" s="1608"/>
      <c r="K134" s="1606"/>
      <c r="L134" s="1628"/>
      <c r="M134" s="369"/>
      <c r="N134" s="369"/>
      <c r="O134" s="369"/>
      <c r="P134" s="369"/>
    </row>
    <row r="135" spans="1:16" ht="11.25" customHeight="1" x14ac:dyDescent="0.25">
      <c r="A135" s="1686"/>
      <c r="B135" s="293"/>
      <c r="C135" s="1606"/>
      <c r="D135" s="1606"/>
      <c r="E135" s="1628"/>
      <c r="F135" s="1629"/>
      <c r="G135" s="1606"/>
      <c r="H135" s="1628"/>
      <c r="I135" s="1630"/>
      <c r="J135" s="1608"/>
      <c r="K135" s="1606"/>
      <c r="L135" s="1628"/>
      <c r="M135" s="369"/>
      <c r="N135" s="369"/>
      <c r="O135" s="369"/>
      <c r="P135" s="369"/>
    </row>
    <row r="136" spans="1:16" ht="11.25" customHeight="1" x14ac:dyDescent="0.25">
      <c r="A136" s="1686"/>
      <c r="B136" s="293"/>
      <c r="C136" s="1606"/>
      <c r="D136" s="1606"/>
      <c r="E136" s="1628"/>
      <c r="F136" s="1629"/>
      <c r="G136" s="1606"/>
      <c r="H136" s="1628"/>
      <c r="I136" s="1630"/>
      <c r="J136" s="1608"/>
      <c r="K136" s="1606"/>
      <c r="L136" s="1628"/>
      <c r="M136" s="369"/>
      <c r="N136" s="369"/>
      <c r="O136" s="369"/>
      <c r="P136" s="369"/>
    </row>
    <row r="137" spans="1:16" ht="11.25" customHeight="1" x14ac:dyDescent="0.25">
      <c r="A137" s="1686"/>
      <c r="B137" s="293"/>
      <c r="C137" s="1606"/>
      <c r="D137" s="1606"/>
      <c r="E137" s="1628"/>
      <c r="F137" s="1629"/>
      <c r="G137" s="1606"/>
      <c r="H137" s="1628"/>
      <c r="I137" s="1630"/>
      <c r="J137" s="1608"/>
      <c r="K137" s="1606"/>
      <c r="L137" s="1628"/>
      <c r="M137" s="369"/>
      <c r="N137" s="369"/>
      <c r="O137" s="369"/>
      <c r="P137" s="369"/>
    </row>
    <row r="138" spans="1:16" ht="11.25" customHeight="1" x14ac:dyDescent="0.25">
      <c r="A138" s="1686"/>
      <c r="B138" s="293"/>
      <c r="C138" s="1606"/>
      <c r="D138" s="1606"/>
      <c r="E138" s="1628"/>
      <c r="F138" s="1629"/>
      <c r="G138" s="1606"/>
      <c r="H138" s="1628"/>
      <c r="I138" s="1630"/>
      <c r="J138" s="1608"/>
      <c r="K138" s="1606"/>
      <c r="L138" s="1628"/>
      <c r="M138" s="369"/>
      <c r="N138" s="369"/>
      <c r="O138" s="369"/>
      <c r="P138" s="369"/>
    </row>
    <row r="139" spans="1:16" ht="11.25" customHeight="1" x14ac:dyDescent="0.25">
      <c r="A139" s="1686"/>
      <c r="B139" s="293"/>
      <c r="C139" s="1606"/>
      <c r="D139" s="1606"/>
      <c r="E139" s="1628"/>
      <c r="F139" s="1629"/>
      <c r="G139" s="1606"/>
      <c r="H139" s="1628"/>
      <c r="I139" s="1630"/>
      <c r="J139" s="1608"/>
      <c r="K139" s="1606"/>
      <c r="L139" s="1628"/>
      <c r="M139" s="369"/>
      <c r="N139" s="369"/>
      <c r="O139" s="369"/>
      <c r="P139" s="369"/>
    </row>
    <row r="140" spans="1:16" ht="11.25" customHeight="1" x14ac:dyDescent="0.25">
      <c r="A140" s="1686"/>
      <c r="B140" s="293"/>
      <c r="C140" s="1606"/>
      <c r="D140" s="1606"/>
      <c r="E140" s="1628"/>
      <c r="F140" s="1629"/>
      <c r="G140" s="1606"/>
      <c r="H140" s="1628"/>
      <c r="I140" s="1630"/>
      <c r="J140" s="1608"/>
      <c r="K140" s="1606"/>
      <c r="L140" s="1628"/>
      <c r="M140" s="369"/>
      <c r="N140" s="369"/>
      <c r="O140" s="369"/>
      <c r="P140" s="369"/>
    </row>
    <row r="141" spans="1:16" ht="11.25" customHeight="1" x14ac:dyDescent="0.25">
      <c r="A141" s="1686"/>
      <c r="B141" s="293"/>
      <c r="C141" s="1606"/>
      <c r="D141" s="1606"/>
      <c r="E141" s="1628"/>
      <c r="F141" s="1629"/>
      <c r="G141" s="1606"/>
      <c r="H141" s="1628"/>
      <c r="I141" s="1630"/>
      <c r="J141" s="1608"/>
      <c r="K141" s="1606"/>
      <c r="L141" s="1628"/>
      <c r="M141" s="369"/>
      <c r="N141" s="369"/>
      <c r="O141" s="369"/>
      <c r="P141" s="369"/>
    </row>
    <row r="142" spans="1:16" ht="11.25" customHeight="1" x14ac:dyDescent="0.25">
      <c r="A142" s="1686"/>
      <c r="B142" s="293"/>
      <c r="C142" s="1606"/>
      <c r="D142" s="1606"/>
      <c r="E142" s="1628"/>
      <c r="F142" s="1629"/>
      <c r="G142" s="1606"/>
      <c r="H142" s="1628"/>
      <c r="I142" s="1630"/>
      <c r="J142" s="1608"/>
      <c r="K142" s="1606"/>
      <c r="L142" s="1628"/>
      <c r="M142" s="369"/>
      <c r="N142" s="369"/>
      <c r="O142" s="369"/>
      <c r="P142" s="369"/>
    </row>
    <row r="143" spans="1:16" ht="11.25" customHeight="1" x14ac:dyDescent="0.25">
      <c r="A143" s="1686"/>
      <c r="B143" s="293"/>
      <c r="C143" s="1606"/>
      <c r="D143" s="1606"/>
      <c r="E143" s="1628"/>
      <c r="F143" s="1629"/>
      <c r="G143" s="1606"/>
      <c r="H143" s="1628"/>
      <c r="I143" s="1630"/>
      <c r="J143" s="1608"/>
      <c r="K143" s="1606"/>
      <c r="L143" s="1628"/>
      <c r="M143" s="369"/>
      <c r="N143" s="369"/>
      <c r="O143" s="369"/>
      <c r="P143" s="369"/>
    </row>
    <row r="144" spans="1:16" ht="11.25" customHeight="1" x14ac:dyDescent="0.25">
      <c r="A144" s="1686"/>
      <c r="B144" s="293"/>
      <c r="C144" s="1606"/>
      <c r="D144" s="1606"/>
      <c r="E144" s="1628"/>
      <c r="F144" s="1629"/>
      <c r="G144" s="1606"/>
      <c r="H144" s="1628"/>
      <c r="I144" s="1630"/>
      <c r="J144" s="1608"/>
      <c r="K144" s="1606"/>
      <c r="L144" s="1628"/>
      <c r="M144" s="369"/>
      <c r="N144" s="369"/>
      <c r="O144" s="369"/>
      <c r="P144" s="369"/>
    </row>
    <row r="145" spans="1:16" ht="11.25" customHeight="1" x14ac:dyDescent="0.25">
      <c r="A145" s="1686"/>
      <c r="B145" s="293"/>
      <c r="C145" s="1606"/>
      <c r="D145" s="1606"/>
      <c r="E145" s="1628"/>
      <c r="F145" s="1629"/>
      <c r="G145" s="1606"/>
      <c r="H145" s="1628"/>
      <c r="I145" s="1630"/>
      <c r="J145" s="1608"/>
      <c r="K145" s="1606"/>
      <c r="L145" s="1628"/>
      <c r="M145" s="369"/>
      <c r="N145" s="369"/>
      <c r="O145" s="369"/>
      <c r="P145" s="369"/>
    </row>
    <row r="146" spans="1:16" ht="11.25" customHeight="1" x14ac:dyDescent="0.25">
      <c r="A146" s="1686"/>
      <c r="B146" s="293"/>
      <c r="C146" s="1606"/>
      <c r="D146" s="1606"/>
      <c r="E146" s="1628"/>
      <c r="F146" s="1629"/>
      <c r="G146" s="1606"/>
      <c r="H146" s="1628"/>
      <c r="I146" s="1630"/>
      <c r="J146" s="1608"/>
      <c r="K146" s="1606"/>
      <c r="L146" s="1628"/>
      <c r="M146" s="369"/>
      <c r="N146" s="369"/>
      <c r="O146" s="369"/>
      <c r="P146" s="369"/>
    </row>
    <row r="147" spans="1:16" ht="11.25" customHeight="1" x14ac:dyDescent="0.25">
      <c r="A147" s="1627"/>
      <c r="B147" s="293"/>
      <c r="C147" s="1606"/>
      <c r="D147" s="1606"/>
      <c r="E147" s="1628"/>
      <c r="F147" s="1629"/>
      <c r="G147" s="1606"/>
      <c r="H147" s="1628"/>
      <c r="I147" s="1630"/>
      <c r="J147" s="1608"/>
      <c r="K147" s="1606"/>
      <c r="L147" s="1628"/>
      <c r="M147" s="369"/>
      <c r="N147" s="369"/>
      <c r="O147" s="369"/>
      <c r="P147" s="369"/>
    </row>
    <row r="148" spans="1:16" ht="11.25" customHeight="1" x14ac:dyDescent="0.25">
      <c r="A148" s="1627"/>
      <c r="B148" s="293"/>
      <c r="C148" s="1606"/>
      <c r="D148" s="1606"/>
      <c r="E148" s="1628"/>
      <c r="F148" s="1629"/>
      <c r="G148" s="1606"/>
      <c r="H148" s="1628"/>
      <c r="I148" s="1630"/>
      <c r="J148" s="1608"/>
      <c r="K148" s="1606"/>
      <c r="L148" s="1628"/>
      <c r="M148" s="369"/>
      <c r="N148" s="369"/>
      <c r="O148" s="369"/>
      <c r="P148" s="369"/>
    </row>
    <row r="149" spans="1:16" ht="11.25" customHeight="1" x14ac:dyDescent="0.25">
      <c r="A149" s="1627"/>
      <c r="B149" s="293"/>
      <c r="C149" s="1606"/>
      <c r="D149" s="1606"/>
      <c r="E149" s="1628"/>
      <c r="F149" s="1629"/>
      <c r="G149" s="1606"/>
      <c r="H149" s="1628"/>
      <c r="I149" s="1630"/>
      <c r="J149" s="1608"/>
      <c r="K149" s="1606"/>
      <c r="L149" s="1628"/>
      <c r="M149" s="369"/>
      <c r="N149" s="369"/>
      <c r="O149" s="369"/>
      <c r="P149" s="369"/>
    </row>
    <row r="150" spans="1:16" ht="11.25" customHeight="1" x14ac:dyDescent="0.25">
      <c r="A150" s="1627"/>
      <c r="B150" s="293"/>
      <c r="C150" s="1606"/>
      <c r="D150" s="1606"/>
      <c r="E150" s="1628"/>
      <c r="F150" s="1629"/>
      <c r="G150" s="1606"/>
      <c r="H150" s="1628"/>
      <c r="I150" s="1630"/>
      <c r="J150" s="1608"/>
      <c r="K150" s="1606"/>
      <c r="L150" s="1628"/>
      <c r="M150" s="369"/>
      <c r="N150" s="369"/>
      <c r="O150" s="369"/>
      <c r="P150" s="369"/>
    </row>
    <row r="151" spans="1:16" ht="11.25" customHeight="1" x14ac:dyDescent="0.25">
      <c r="A151" s="1627"/>
      <c r="B151" s="293"/>
      <c r="C151" s="1606"/>
      <c r="D151" s="1606"/>
      <c r="E151" s="1628"/>
      <c r="F151" s="1629"/>
      <c r="G151" s="1606"/>
      <c r="H151" s="1628"/>
      <c r="I151" s="1630"/>
      <c r="J151" s="1608"/>
      <c r="K151" s="1606"/>
      <c r="L151" s="1628"/>
      <c r="M151" s="369"/>
      <c r="N151" s="369"/>
      <c r="O151" s="369"/>
      <c r="P151" s="369"/>
    </row>
    <row r="152" spans="1:16" ht="11.25" customHeight="1" x14ac:dyDescent="0.25">
      <c r="A152" s="1627"/>
      <c r="B152" s="293"/>
      <c r="C152" s="1606"/>
      <c r="D152" s="1606"/>
      <c r="E152" s="1628"/>
      <c r="F152" s="1629"/>
      <c r="G152" s="1606"/>
      <c r="H152" s="1628"/>
      <c r="I152" s="1630"/>
      <c r="J152" s="1608"/>
      <c r="K152" s="1606"/>
      <c r="L152" s="1628"/>
      <c r="M152" s="369"/>
      <c r="N152" s="369"/>
      <c r="O152" s="369"/>
      <c r="P152" s="369"/>
    </row>
    <row r="153" spans="1:16" ht="11.25" customHeight="1" x14ac:dyDescent="0.25">
      <c r="A153" s="346" t="s">
        <v>764</v>
      </c>
      <c r="B153" s="347">
        <v>1</v>
      </c>
      <c r="C153" s="230">
        <f>SUM(C126:C152)</f>
        <v>0</v>
      </c>
      <c r="D153" s="230">
        <f t="shared" ref="D153:L153" si="16">SUM(D126:D152)</f>
        <v>234407510</v>
      </c>
      <c r="E153" s="228">
        <f t="shared" si="16"/>
        <v>117713653</v>
      </c>
      <c r="F153" s="229">
        <f t="shared" si="16"/>
        <v>63044058</v>
      </c>
      <c r="G153" s="230">
        <f t="shared" si="16"/>
        <v>54387448.069999993</v>
      </c>
      <c r="H153" s="228">
        <f t="shared" si="16"/>
        <v>54387448.069999993</v>
      </c>
      <c r="I153" s="231">
        <f t="shared" si="16"/>
        <v>42145324</v>
      </c>
      <c r="J153" s="232">
        <f t="shared" si="16"/>
        <v>114152702.99999988</v>
      </c>
      <c r="K153" s="230">
        <f t="shared" si="16"/>
        <v>120887712.477</v>
      </c>
      <c r="L153" s="228">
        <f t="shared" si="16"/>
        <v>127657424.37571204</v>
      </c>
      <c r="M153" s="369"/>
      <c r="N153" s="369"/>
      <c r="O153" s="369"/>
      <c r="P153" s="369"/>
    </row>
    <row r="154" spans="1:16" ht="11.25" customHeight="1" x14ac:dyDescent="0.25">
      <c r="A154" s="240"/>
      <c r="B154" s="236"/>
      <c r="C154" s="217"/>
      <c r="D154" s="217"/>
      <c r="E154" s="217"/>
      <c r="F154" s="217"/>
      <c r="G154" s="217"/>
      <c r="H154" s="217"/>
      <c r="I154" s="217"/>
      <c r="J154" s="217"/>
      <c r="K154" s="217"/>
      <c r="L154" s="217"/>
      <c r="M154" s="369"/>
      <c r="N154" s="369"/>
      <c r="O154" s="369"/>
      <c r="P154" s="369"/>
    </row>
    <row r="155" spans="1:16" ht="11.25" customHeight="1" x14ac:dyDescent="0.25">
      <c r="A155" s="2081" t="s">
        <v>1929</v>
      </c>
      <c r="B155" s="2101">
        <v>8</v>
      </c>
      <c r="C155" s="2082"/>
      <c r="D155" s="1589"/>
      <c r="E155" s="554"/>
      <c r="F155" s="2082"/>
      <c r="G155" s="1589"/>
      <c r="H155" s="554"/>
      <c r="I155" s="1579"/>
      <c r="J155" s="2082"/>
      <c r="K155" s="1589"/>
      <c r="L155" s="554"/>
      <c r="M155" s="369"/>
      <c r="N155" s="369"/>
      <c r="O155" s="369"/>
      <c r="P155" s="369"/>
    </row>
    <row r="156" spans="1:16" ht="27" customHeight="1" x14ac:dyDescent="0.25">
      <c r="A156" s="190" t="s">
        <v>475</v>
      </c>
      <c r="B156" s="1593"/>
      <c r="C156" s="1610"/>
      <c r="D156" s="1606"/>
      <c r="E156" s="1609"/>
      <c r="F156" s="1610"/>
      <c r="G156" s="1606"/>
      <c r="H156" s="1609"/>
      <c r="I156" s="1797"/>
      <c r="J156" s="1610"/>
      <c r="K156" s="1606"/>
      <c r="L156" s="1609"/>
      <c r="M156" s="369"/>
      <c r="N156" s="369"/>
      <c r="O156" s="369"/>
      <c r="P156" s="369"/>
    </row>
    <row r="157" spans="1:16" s="708" customFormat="1" ht="11.25" customHeight="1" x14ac:dyDescent="0.25">
      <c r="A157" s="190" t="s">
        <v>1514</v>
      </c>
      <c r="B157" s="1593"/>
      <c r="C157" s="1610"/>
      <c r="D157" s="1606"/>
      <c r="E157" s="1609"/>
      <c r="F157" s="1610"/>
      <c r="G157" s="1606"/>
      <c r="H157" s="1609"/>
      <c r="I157" s="1797"/>
      <c r="J157" s="1610"/>
      <c r="K157" s="1606"/>
      <c r="L157" s="1609"/>
      <c r="M157" s="1082"/>
      <c r="N157" s="1082"/>
      <c r="O157" s="1082"/>
      <c r="P157" s="1082"/>
    </row>
    <row r="158" spans="1:16" s="708" customFormat="1" ht="11.25" customHeight="1" x14ac:dyDescent="0.25">
      <c r="A158" s="190" t="s">
        <v>1930</v>
      </c>
      <c r="B158" s="1593"/>
      <c r="C158" s="1610"/>
      <c r="D158" s="1606"/>
      <c r="E158" s="1609"/>
      <c r="F158" s="1610"/>
      <c r="G158" s="1606"/>
      <c r="H158" s="1609"/>
      <c r="I158" s="1797"/>
      <c r="J158" s="1610"/>
      <c r="K158" s="1606"/>
      <c r="L158" s="1609"/>
      <c r="M158" s="1082"/>
      <c r="N158" s="1082"/>
      <c r="O158" s="1082"/>
      <c r="P158" s="1082"/>
    </row>
    <row r="159" spans="1:16" s="708" customFormat="1" ht="11.25" customHeight="1" x14ac:dyDescent="0.25">
      <c r="A159" s="190" t="s">
        <v>1931</v>
      </c>
      <c r="B159" s="1593"/>
      <c r="C159" s="2092"/>
      <c r="D159" s="1651">
        <v>25994364</v>
      </c>
      <c r="E159" s="1655">
        <v>19558082.859999999</v>
      </c>
      <c r="F159" s="2092">
        <v>17850000</v>
      </c>
      <c r="G159" s="1651">
        <v>13128294.41</v>
      </c>
      <c r="H159" s="1655">
        <v>13128294.41</v>
      </c>
      <c r="I159" s="2093">
        <v>3139403</v>
      </c>
      <c r="J159" s="2092">
        <v>19090000</v>
      </c>
      <c r="K159" s="1651">
        <f>J159*1.059</f>
        <v>20216310</v>
      </c>
      <c r="L159" s="1655">
        <f>K159*1.056</f>
        <v>21348423.359999999</v>
      </c>
      <c r="M159" s="1082"/>
      <c r="N159" s="1082"/>
      <c r="O159" s="1082"/>
      <c r="P159" s="1082"/>
    </row>
    <row r="160" spans="1:16" s="708" customFormat="1" ht="11.25" customHeight="1" x14ac:dyDescent="0.25">
      <c r="A160" s="346" t="s">
        <v>1217</v>
      </c>
      <c r="B160" s="2102">
        <v>9</v>
      </c>
      <c r="C160" s="2084">
        <f t="shared" ref="C160:L160" si="17">SUM(C156:C159)</f>
        <v>0</v>
      </c>
      <c r="D160" s="432">
        <f t="shared" si="17"/>
        <v>25994364</v>
      </c>
      <c r="E160" s="2083">
        <f t="shared" si="17"/>
        <v>19558082.859999999</v>
      </c>
      <c r="F160" s="2084">
        <f t="shared" si="17"/>
        <v>17850000</v>
      </c>
      <c r="G160" s="432">
        <f t="shared" si="17"/>
        <v>13128294.41</v>
      </c>
      <c r="H160" s="2083">
        <f t="shared" si="17"/>
        <v>13128294.41</v>
      </c>
      <c r="I160" s="2085">
        <f t="shared" si="17"/>
        <v>3139403</v>
      </c>
      <c r="J160" s="2084">
        <f t="shared" si="17"/>
        <v>19090000</v>
      </c>
      <c r="K160" s="432">
        <f t="shared" si="17"/>
        <v>20216310</v>
      </c>
      <c r="L160" s="2083">
        <f t="shared" si="17"/>
        <v>21348423.359999999</v>
      </c>
      <c r="M160" s="1082"/>
      <c r="N160" s="1082"/>
      <c r="O160" s="1082"/>
      <c r="P160" s="1082"/>
    </row>
    <row r="161" spans="1:16" s="708" customFormat="1" ht="11.25" customHeight="1" x14ac:dyDescent="0.25">
      <c r="A161" s="240"/>
      <c r="B161" s="246"/>
      <c r="C161" s="202"/>
      <c r="D161" s="202"/>
      <c r="E161" s="202"/>
      <c r="F161" s="202"/>
      <c r="G161" s="202"/>
      <c r="H161" s="202"/>
      <c r="I161" s="202"/>
      <c r="J161" s="202"/>
      <c r="K161" s="202"/>
      <c r="L161" s="202"/>
      <c r="M161" s="1082"/>
      <c r="N161" s="1082"/>
      <c r="O161" s="1082"/>
      <c r="P161" s="1082"/>
    </row>
    <row r="162" spans="1:16" s="708" customFormat="1" ht="12.75" customHeight="1" x14ac:dyDescent="0.25">
      <c r="A162" s="320" t="s">
        <v>1509</v>
      </c>
      <c r="B162" s="149"/>
      <c r="C162" s="202">
        <f>C160-SA34c!C77</f>
        <v>0</v>
      </c>
      <c r="D162" s="202">
        <f>D160-SA34c!D77</f>
        <v>0</v>
      </c>
      <c r="E162" s="202">
        <f>E160-SA34c!E77</f>
        <v>0</v>
      </c>
      <c r="F162" s="202">
        <f>F160-SA34c!F77</f>
        <v>0</v>
      </c>
      <c r="G162" s="202">
        <f>G160-SA34c!G77</f>
        <v>0</v>
      </c>
      <c r="H162" s="202">
        <f>H160-SA34c!H77</f>
        <v>0</v>
      </c>
      <c r="I162" s="202"/>
      <c r="J162" s="202">
        <f>J160-SA34c!I77</f>
        <v>0</v>
      </c>
      <c r="K162" s="202">
        <f>K160-SA34c!J77</f>
        <v>0</v>
      </c>
      <c r="L162" s="202">
        <f>L160-SA34c!K77</f>
        <v>0</v>
      </c>
      <c r="M162" s="1082"/>
      <c r="N162" s="1082"/>
      <c r="O162" s="1082"/>
      <c r="P162" s="1082"/>
    </row>
    <row r="163" spans="1:16" s="708" customFormat="1" ht="11.25" customHeight="1" x14ac:dyDescent="0.25">
      <c r="A163" s="240"/>
      <c r="B163" s="236"/>
      <c r="C163" s="217"/>
      <c r="D163" s="217"/>
      <c r="E163" s="217"/>
      <c r="F163" s="217"/>
      <c r="G163" s="217"/>
      <c r="H163" s="217"/>
      <c r="I163" s="217"/>
      <c r="J163" s="217"/>
      <c r="K163" s="217"/>
      <c r="L163" s="217"/>
    </row>
    <row r="164" spans="1:16" ht="6" customHeight="1" x14ac:dyDescent="0.25">
      <c r="A164" s="240"/>
      <c r="B164" s="236"/>
      <c r="C164" s="217"/>
      <c r="D164" s="217"/>
      <c r="E164" s="217"/>
      <c r="F164" s="217"/>
      <c r="G164" s="217"/>
      <c r="H164" s="217"/>
      <c r="I164" s="217"/>
      <c r="J164" s="217"/>
      <c r="K164" s="217"/>
      <c r="L164" s="217"/>
    </row>
    <row r="165" spans="1:16" ht="15" customHeight="1" x14ac:dyDescent="0.25">
      <c r="A165" s="1228" t="str">
        <f>head27a</f>
        <v>References</v>
      </c>
      <c r="B165" s="1033"/>
      <c r="C165" s="1037"/>
      <c r="D165" s="1037"/>
      <c r="E165" s="1037"/>
      <c r="F165" s="1037"/>
      <c r="G165" s="1037"/>
      <c r="H165" s="1037"/>
      <c r="I165" s="1037"/>
      <c r="J165" s="1037"/>
      <c r="K165" s="1037"/>
      <c r="L165" s="1037"/>
    </row>
    <row r="166" spans="1:16" ht="12" customHeight="1" x14ac:dyDescent="0.25">
      <c r="A166" s="1190" t="s">
        <v>765</v>
      </c>
      <c r="B166" s="1033"/>
      <c r="C166" s="1036"/>
      <c r="D166" s="1036"/>
      <c r="E166" s="1037"/>
      <c r="F166" s="1037"/>
      <c r="G166" s="1037"/>
      <c r="H166" s="1037"/>
      <c r="I166" s="1037"/>
      <c r="J166" s="1037"/>
      <c r="K166" s="1037"/>
      <c r="L166" s="1037"/>
    </row>
    <row r="167" spans="1:16" x14ac:dyDescent="0.25">
      <c r="A167" s="1190" t="s">
        <v>1064</v>
      </c>
      <c r="B167" s="1033"/>
      <c r="C167" s="1036"/>
      <c r="D167" s="1036"/>
      <c r="E167" s="1037"/>
      <c r="F167" s="1037"/>
      <c r="G167" s="1037"/>
      <c r="H167" s="1037"/>
      <c r="I167" s="1037"/>
      <c r="J167" s="1037"/>
      <c r="K167" s="1037"/>
      <c r="L167" s="1037"/>
    </row>
    <row r="168" spans="1:16" x14ac:dyDescent="0.25">
      <c r="A168" s="1190" t="s">
        <v>767</v>
      </c>
      <c r="B168" s="1033"/>
      <c r="C168" s="1036"/>
      <c r="D168" s="1036"/>
      <c r="E168" s="1037"/>
      <c r="F168" s="1037"/>
      <c r="G168" s="1037"/>
      <c r="H168" s="1037"/>
      <c r="I168" s="1037"/>
      <c r="J168" s="1037"/>
      <c r="K168" s="1037"/>
      <c r="L168" s="1037"/>
    </row>
    <row r="169" spans="1:16" ht="11.25" customHeight="1" x14ac:dyDescent="0.25">
      <c r="A169" s="1190" t="s">
        <v>766</v>
      </c>
      <c r="B169" s="1033"/>
      <c r="C169" s="1036"/>
      <c r="D169" s="1036"/>
      <c r="E169" s="1037"/>
      <c r="F169" s="1037"/>
      <c r="G169" s="1037"/>
      <c r="H169" s="1037"/>
      <c r="I169" s="1037"/>
      <c r="J169" s="1037"/>
      <c r="K169" s="1037"/>
      <c r="L169" s="1037"/>
    </row>
    <row r="170" spans="1:16" ht="11.25" customHeight="1" x14ac:dyDescent="0.25">
      <c r="A170" s="1190" t="s">
        <v>1274</v>
      </c>
      <c r="B170" s="1033"/>
      <c r="C170" s="1036"/>
      <c r="D170" s="1036"/>
      <c r="E170" s="1037"/>
      <c r="F170" s="1037"/>
      <c r="G170" s="1037"/>
      <c r="H170" s="1037"/>
      <c r="I170" s="1037"/>
      <c r="J170" s="1037"/>
      <c r="K170" s="1037"/>
      <c r="L170" s="1037"/>
    </row>
    <row r="171" spans="1:16" ht="11.25" customHeight="1" x14ac:dyDescent="0.25">
      <c r="A171" s="1190" t="s">
        <v>1682</v>
      </c>
      <c r="B171" s="1033"/>
      <c r="C171" s="1036"/>
      <c r="D171" s="1036"/>
      <c r="E171" s="1037"/>
      <c r="F171" s="1037"/>
      <c r="G171" s="1037"/>
      <c r="H171" s="1037"/>
      <c r="I171" s="1037"/>
      <c r="J171" s="1037"/>
      <c r="K171" s="1037"/>
      <c r="L171" s="1037"/>
    </row>
    <row r="172" spans="1:16" ht="11.25" customHeight="1" x14ac:dyDescent="0.25">
      <c r="A172" s="1190" t="s">
        <v>123</v>
      </c>
      <c r="B172" s="1033"/>
      <c r="C172" s="1036"/>
      <c r="D172" s="1036"/>
      <c r="E172" s="1037"/>
      <c r="F172" s="1037"/>
      <c r="G172" s="1037"/>
      <c r="H172" s="1037"/>
      <c r="I172" s="1037"/>
      <c r="J172" s="1037"/>
      <c r="K172" s="1037"/>
      <c r="L172" s="1037"/>
    </row>
    <row r="173" spans="1:16" ht="11.25" customHeight="1" x14ac:dyDescent="0.25">
      <c r="A173" s="1166" t="s">
        <v>1933</v>
      </c>
    </row>
    <row r="174" spans="1:16" ht="11.25" customHeight="1" x14ac:dyDescent="0.25">
      <c r="A174" s="149" t="s">
        <v>1934</v>
      </c>
    </row>
    <row r="175" spans="1:16" ht="11.25" customHeight="1" x14ac:dyDescent="0.25">
      <c r="A175" s="149" t="s">
        <v>2196</v>
      </c>
      <c r="B175" s="149"/>
    </row>
    <row r="176" spans="1:16" ht="11.25" customHeight="1" x14ac:dyDescent="0.25">
      <c r="B176" s="149"/>
    </row>
    <row r="177" spans="2:2" ht="11.25" customHeight="1" x14ac:dyDescent="0.25">
      <c r="B177" s="149"/>
    </row>
    <row r="178" spans="2:2" ht="11.25" customHeight="1" x14ac:dyDescent="0.25">
      <c r="B178" s="149"/>
    </row>
    <row r="179" spans="2:2" ht="11.25" customHeight="1" x14ac:dyDescent="0.25">
      <c r="B179" s="149"/>
    </row>
    <row r="180" spans="2:2" ht="11.25" customHeight="1" x14ac:dyDescent="0.25">
      <c r="B180" s="149"/>
    </row>
    <row r="181" spans="2:2" ht="11.25" customHeight="1" x14ac:dyDescent="0.25">
      <c r="B181" s="149"/>
    </row>
    <row r="182" spans="2:2" ht="11.25" customHeight="1" x14ac:dyDescent="0.25">
      <c r="B182" s="149"/>
    </row>
    <row r="183" spans="2:2" ht="11.25" customHeight="1" x14ac:dyDescent="0.25">
      <c r="B183" s="149"/>
    </row>
    <row r="184" spans="2:2" ht="11.25" customHeight="1" x14ac:dyDescent="0.25">
      <c r="B184" s="149"/>
    </row>
    <row r="185" spans="2:2" ht="11.25" customHeight="1" x14ac:dyDescent="0.25">
      <c r="B185" s="149"/>
    </row>
    <row r="186" spans="2:2" ht="11.25" customHeight="1" x14ac:dyDescent="0.25">
      <c r="B186" s="149"/>
    </row>
    <row r="187" spans="2:2" ht="11.25" customHeight="1" x14ac:dyDescent="0.25">
      <c r="B187" s="149"/>
    </row>
    <row r="188" spans="2:2" ht="11.25" customHeight="1" x14ac:dyDescent="0.25">
      <c r="B188" s="149"/>
    </row>
    <row r="189" spans="2:2" ht="11.25" customHeight="1" x14ac:dyDescent="0.25">
      <c r="B189" s="149"/>
    </row>
    <row r="190" spans="2:2" ht="11.25" customHeight="1" x14ac:dyDescent="0.25">
      <c r="B190" s="149"/>
    </row>
    <row r="191" spans="2:2" ht="11.25" customHeight="1" x14ac:dyDescent="0.25">
      <c r="B191" s="149"/>
    </row>
    <row r="192" spans="2:2" ht="11.25" customHeight="1" x14ac:dyDescent="0.25">
      <c r="B192" s="149"/>
    </row>
    <row r="193" spans="2:2" ht="11.25" customHeight="1" x14ac:dyDescent="0.25">
      <c r="B193" s="149"/>
    </row>
    <row r="194" spans="2:2" ht="11.25" customHeight="1" x14ac:dyDescent="0.25">
      <c r="B194" s="149"/>
    </row>
    <row r="195" spans="2:2" ht="11.25" customHeight="1" x14ac:dyDescent="0.25">
      <c r="B195" s="149"/>
    </row>
    <row r="196" spans="2:2" ht="11.25" customHeight="1" x14ac:dyDescent="0.25">
      <c r="B196" s="149"/>
    </row>
    <row r="197" spans="2:2" ht="11.25" customHeight="1" x14ac:dyDescent="0.25">
      <c r="B197" s="149"/>
    </row>
    <row r="198" spans="2:2" ht="11.25" customHeight="1" x14ac:dyDescent="0.25">
      <c r="B198" s="149"/>
    </row>
    <row r="199" spans="2:2" ht="11.25" customHeight="1" x14ac:dyDescent="0.25">
      <c r="B199" s="149"/>
    </row>
    <row r="200" spans="2:2" ht="11.25" customHeight="1" x14ac:dyDescent="0.25">
      <c r="B200" s="149"/>
    </row>
    <row r="201" spans="2:2" ht="11.25" customHeight="1" x14ac:dyDescent="0.25">
      <c r="B201" s="149"/>
    </row>
    <row r="202" spans="2:2" ht="11.25" customHeight="1" x14ac:dyDescent="0.25">
      <c r="B202" s="149"/>
    </row>
    <row r="203" spans="2:2" ht="11.25" customHeight="1" x14ac:dyDescent="0.25">
      <c r="B203" s="149"/>
    </row>
    <row r="204" spans="2:2" ht="11.25" customHeight="1" x14ac:dyDescent="0.25">
      <c r="B204" s="149"/>
    </row>
    <row r="205" spans="2:2" ht="11.25" customHeight="1" x14ac:dyDescent="0.25">
      <c r="B205" s="149"/>
    </row>
    <row r="206" spans="2:2" ht="11.25" customHeight="1" x14ac:dyDescent="0.25">
      <c r="B206" s="149"/>
    </row>
    <row r="207" spans="2:2" ht="11.25" customHeight="1" x14ac:dyDescent="0.25">
      <c r="B207" s="149"/>
    </row>
    <row r="208" spans="2:2" ht="11.25" customHeight="1" x14ac:dyDescent="0.25">
      <c r="B208" s="149"/>
    </row>
    <row r="209" spans="2:2" ht="11.25" customHeight="1" x14ac:dyDescent="0.25">
      <c r="B209" s="149"/>
    </row>
    <row r="210" spans="2:2" ht="11.25" customHeight="1" x14ac:dyDescent="0.25">
      <c r="B210" s="149"/>
    </row>
    <row r="211" spans="2:2" ht="11.25" customHeight="1" x14ac:dyDescent="0.25">
      <c r="B211" s="149"/>
    </row>
    <row r="212" spans="2:2" ht="11.25" customHeight="1" x14ac:dyDescent="0.25">
      <c r="B212" s="149"/>
    </row>
    <row r="213" spans="2:2" ht="11.25" customHeight="1" x14ac:dyDescent="0.25">
      <c r="B213" s="149"/>
    </row>
    <row r="214" spans="2:2" ht="11.25" customHeight="1" x14ac:dyDescent="0.25">
      <c r="B214" s="149"/>
    </row>
    <row r="215" spans="2:2" ht="11.25" customHeight="1" x14ac:dyDescent="0.25">
      <c r="B215" s="149"/>
    </row>
    <row r="216" spans="2:2" ht="11.25" customHeight="1" x14ac:dyDescent="0.25">
      <c r="B216" s="149"/>
    </row>
    <row r="217" spans="2:2" ht="11.25" customHeight="1" x14ac:dyDescent="0.25">
      <c r="B217" s="149"/>
    </row>
    <row r="218" spans="2:2" ht="11.25" customHeight="1" x14ac:dyDescent="0.25">
      <c r="B218" s="149"/>
    </row>
    <row r="219" spans="2:2" ht="11.25" customHeight="1" x14ac:dyDescent="0.25">
      <c r="B219" s="149"/>
    </row>
    <row r="220" spans="2:2" ht="11.25" customHeight="1" x14ac:dyDescent="0.25">
      <c r="B220" s="149"/>
    </row>
    <row r="221" spans="2:2" ht="11.25" customHeight="1" x14ac:dyDescent="0.25">
      <c r="B221" s="149"/>
    </row>
    <row r="222" spans="2:2" ht="11.25" customHeight="1" x14ac:dyDescent="0.25">
      <c r="B222" s="149"/>
    </row>
    <row r="223" spans="2:2" ht="11.25" customHeight="1" x14ac:dyDescent="0.25">
      <c r="B223" s="149"/>
    </row>
    <row r="224" spans="2:2" ht="11.25" customHeight="1" x14ac:dyDescent="0.25">
      <c r="B224" s="149"/>
    </row>
    <row r="225" spans="2:2" ht="11.25" customHeight="1" x14ac:dyDescent="0.25">
      <c r="B225" s="149"/>
    </row>
    <row r="226" spans="2:2" ht="11.25" customHeight="1" x14ac:dyDescent="0.25">
      <c r="B226" s="149"/>
    </row>
    <row r="227" spans="2:2" ht="11.25" customHeight="1" x14ac:dyDescent="0.25">
      <c r="B227" s="149"/>
    </row>
    <row r="228" spans="2:2" ht="11.25" customHeight="1" x14ac:dyDescent="0.25">
      <c r="B228" s="149"/>
    </row>
    <row r="229" spans="2:2" ht="11.25" customHeight="1" x14ac:dyDescent="0.25">
      <c r="B229" s="149"/>
    </row>
    <row r="230" spans="2:2" x14ac:dyDescent="0.25">
      <c r="B230" s="149"/>
    </row>
    <row r="231" spans="2:2" x14ac:dyDescent="0.25">
      <c r="B231" s="149"/>
    </row>
    <row r="232" spans="2:2" x14ac:dyDescent="0.25">
      <c r="B232" s="149"/>
    </row>
    <row r="233" spans="2:2" x14ac:dyDescent="0.25">
      <c r="B233" s="149"/>
    </row>
    <row r="234" spans="2:2" x14ac:dyDescent="0.25">
      <c r="B234" s="149"/>
    </row>
    <row r="235" spans="2:2" x14ac:dyDescent="0.25">
      <c r="B235" s="149"/>
    </row>
    <row r="236" spans="2:2" x14ac:dyDescent="0.25">
      <c r="B236" s="149"/>
    </row>
    <row r="237" spans="2:2" x14ac:dyDescent="0.25">
      <c r="B237" s="149"/>
    </row>
    <row r="238" spans="2:2" x14ac:dyDescent="0.25">
      <c r="B238" s="149"/>
    </row>
    <row r="239" spans="2:2" x14ac:dyDescent="0.25">
      <c r="B239" s="149"/>
    </row>
    <row r="240" spans="2:2" x14ac:dyDescent="0.25">
      <c r="B240" s="149"/>
    </row>
    <row r="241" spans="2:2" x14ac:dyDescent="0.25">
      <c r="B241" s="149"/>
    </row>
    <row r="242" spans="2:2" x14ac:dyDescent="0.25">
      <c r="B242" s="149"/>
    </row>
    <row r="243" spans="2:2" x14ac:dyDescent="0.25">
      <c r="B243" s="149"/>
    </row>
    <row r="244" spans="2:2" x14ac:dyDescent="0.25">
      <c r="B244" s="149"/>
    </row>
    <row r="245" spans="2:2" x14ac:dyDescent="0.25">
      <c r="B245" s="149"/>
    </row>
    <row r="246" spans="2:2" x14ac:dyDescent="0.25">
      <c r="B246" s="149"/>
    </row>
    <row r="247" spans="2:2" x14ac:dyDescent="0.25">
      <c r="B247" s="149"/>
    </row>
    <row r="248" spans="2:2" x14ac:dyDescent="0.25">
      <c r="B248" s="149"/>
    </row>
    <row r="249" spans="2:2" x14ac:dyDescent="0.25">
      <c r="B249" s="149"/>
    </row>
    <row r="250" spans="2:2" x14ac:dyDescent="0.25">
      <c r="B250" s="149"/>
    </row>
    <row r="251" spans="2:2" x14ac:dyDescent="0.25">
      <c r="B251" s="149"/>
    </row>
    <row r="252" spans="2:2" x14ac:dyDescent="0.25">
      <c r="B252" s="149"/>
    </row>
    <row r="253" spans="2:2" x14ac:dyDescent="0.25">
      <c r="B253" s="149"/>
    </row>
    <row r="254" spans="2:2" x14ac:dyDescent="0.25">
      <c r="B254" s="149"/>
    </row>
    <row r="255" spans="2:2" x14ac:dyDescent="0.25">
      <c r="B255" s="149"/>
    </row>
    <row r="256" spans="2:2" x14ac:dyDescent="0.25">
      <c r="B256" s="149"/>
    </row>
    <row r="257" spans="2:2" x14ac:dyDescent="0.25">
      <c r="B257" s="149"/>
    </row>
    <row r="258" spans="2:2" x14ac:dyDescent="0.25">
      <c r="B258" s="149"/>
    </row>
    <row r="259" spans="2:2" x14ac:dyDescent="0.25">
      <c r="B259" s="149"/>
    </row>
    <row r="260" spans="2:2" x14ac:dyDescent="0.25">
      <c r="B260" s="149"/>
    </row>
    <row r="261" spans="2:2" x14ac:dyDescent="0.25">
      <c r="B261" s="149"/>
    </row>
    <row r="262" spans="2:2" x14ac:dyDescent="0.25">
      <c r="B262" s="149"/>
    </row>
    <row r="263" spans="2:2" x14ac:dyDescent="0.25">
      <c r="B263" s="149"/>
    </row>
    <row r="264" spans="2:2" x14ac:dyDescent="0.25">
      <c r="B264" s="149"/>
    </row>
    <row r="265" spans="2:2" x14ac:dyDescent="0.25">
      <c r="B265" s="149"/>
    </row>
    <row r="266" spans="2:2" x14ac:dyDescent="0.25">
      <c r="B266" s="149"/>
    </row>
    <row r="267" spans="2:2" x14ac:dyDescent="0.25">
      <c r="B267" s="149"/>
    </row>
    <row r="268" spans="2:2" x14ac:dyDescent="0.25">
      <c r="B268" s="149"/>
    </row>
    <row r="269" spans="2:2" x14ac:dyDescent="0.25">
      <c r="B269" s="149"/>
    </row>
    <row r="270" spans="2:2" x14ac:dyDescent="0.25">
      <c r="B270" s="149"/>
    </row>
    <row r="271" spans="2:2" x14ac:dyDescent="0.25">
      <c r="B271" s="149"/>
    </row>
    <row r="272" spans="2:2" x14ac:dyDescent="0.25">
      <c r="B272" s="149"/>
    </row>
    <row r="273" spans="2:2" x14ac:dyDescent="0.25">
      <c r="B273" s="149"/>
    </row>
    <row r="274" spans="2:2" x14ac:dyDescent="0.25">
      <c r="B274" s="149"/>
    </row>
    <row r="275" spans="2:2" x14ac:dyDescent="0.25">
      <c r="B275" s="149"/>
    </row>
  </sheetData>
  <sheetProtection sheet="1" objects="1" scenarios="1"/>
  <customSheetViews>
    <customSheetView guid="{F50C5479-5CC4-4FD7-8319-543D29E829F0}" showGridLines="0" fitToPage="1">
      <pane xSplit="1" ySplit="4" topLeftCell="B132" activePane="bottomRight" state="frozen"/>
      <selection pane="bottomRight" activeCell="A142" sqref="A142:IV142"/>
      <pageMargins left="0" right="0" top="0.78740157480314965" bottom="0.59055118110236227" header="0.51181102362204722" footer="0.39370078740157483"/>
      <printOptions horizontalCentered="1"/>
      <pageSetup paperSize="9" scale="39" orientation="portrait" r:id="rId1"/>
      <headerFooter alignWithMargins="0"/>
    </customSheetView>
  </customSheetViews>
  <mergeCells count="4">
    <mergeCell ref="J2:L2"/>
    <mergeCell ref="F2:I2"/>
    <mergeCell ref="A2:A3"/>
    <mergeCell ref="B2:B3"/>
  </mergeCells>
  <phoneticPr fontId="2" type="noConversion"/>
  <dataValidations count="1">
    <dataValidation type="decimal" allowBlank="1" showInputMessage="1" showErrorMessage="1" sqref="C7:L8 C12:L13 C17:L18 C22:L23 C27:L29 C33:L44 C49:L60 C62:L62 C66:L71 C75:L78 C82:L83 C92:L116 C119:L122 C126:L152 C156:L159 C87:L88">
      <formula1>-999999999999999</formula1>
      <formula2>99999999999999</formula2>
    </dataValidation>
  </dataValidations>
  <printOptions horizontalCentered="1"/>
  <pageMargins left="0" right="0" top="0.78740157480314965" bottom="0.59055118110236227" header="0.51181102362204722" footer="0.39370078740157483"/>
  <pageSetup paperSize="9" scale="70"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42"/>
    <pageSetUpPr fitToPage="1"/>
  </sheetPr>
  <dimension ref="A1:U83"/>
  <sheetViews>
    <sheetView showGridLines="0" zoomScaleNormal="100" workbookViewId="0">
      <pane xSplit="2" ySplit="3" topLeftCell="D34" activePane="bottomRight" state="frozen"/>
      <selection activeCell="F35" sqref="F35"/>
      <selection pane="topRight" activeCell="F35" sqref="F35"/>
      <selection pane="bottomLeft" activeCell="F35" sqref="F35"/>
      <selection pane="bottomRight" activeCell="Q44" sqref="Q44"/>
    </sheetView>
  </sheetViews>
  <sheetFormatPr defaultRowHeight="12.75" x14ac:dyDescent="0.25"/>
  <cols>
    <col min="1" max="1" width="30.7109375" style="149" customWidth="1"/>
    <col min="2" max="2" width="3" style="247" customWidth="1"/>
    <col min="3" max="18" width="9.28515625" style="149" customWidth="1"/>
    <col min="19" max="20" width="9.140625" style="149"/>
    <col min="21" max="21" width="9.85546875" style="149" customWidth="1"/>
    <col min="22" max="22" width="9.5703125" style="149" customWidth="1"/>
    <col min="23" max="23" width="9.85546875" style="149" customWidth="1"/>
    <col min="24" max="26" width="9.5703125" style="149" customWidth="1"/>
    <col min="27" max="27" width="9.85546875" style="149" customWidth="1"/>
    <col min="28" max="30" width="9.5703125" style="149" customWidth="1"/>
    <col min="31" max="32" width="9.85546875" style="149" customWidth="1"/>
    <col min="33" max="16384" width="9.140625" style="149"/>
  </cols>
  <sheetData>
    <row r="1" spans="1:19" s="179" customFormat="1" x14ac:dyDescent="0.2">
      <c r="A1" s="147" t="str">
        <f>muni&amp;" - "&amp;TableA2</f>
        <v>MP315 Thembisile Hani - Supporting Table SA2 Matrix Financial Performance Budget (revenue source/expenditure type and dept.)</v>
      </c>
      <c r="B1" s="147"/>
      <c r="C1" s="147"/>
      <c r="D1" s="147"/>
      <c r="E1" s="147"/>
      <c r="F1" s="147"/>
      <c r="G1" s="147"/>
      <c r="H1" s="147"/>
      <c r="I1" s="147"/>
      <c r="J1" s="147"/>
      <c r="K1" s="147"/>
      <c r="L1" s="147"/>
      <c r="M1" s="147"/>
      <c r="N1" s="147"/>
      <c r="O1" s="147"/>
      <c r="P1" s="147"/>
      <c r="Q1" s="147"/>
      <c r="R1" s="147"/>
    </row>
    <row r="2" spans="1:19" s="369" customFormat="1" ht="43.5" customHeight="1" x14ac:dyDescent="0.25">
      <c r="A2" s="142" t="str">
        <f>desc</f>
        <v>Description</v>
      </c>
      <c r="B2" s="418" t="str">
        <f>head27</f>
        <v>Ref</v>
      </c>
      <c r="C2" s="2795" t="str">
        <f>'A3-FinPerf V'!A5</f>
        <v>Vote 1 - 100 COUNCIL &amp; GENERAL</v>
      </c>
      <c r="D2" s="2795" t="str">
        <f>'A3-FinPerf V'!A6</f>
        <v>Vote 2 - 102 MUNICIPAL MANAGER</v>
      </c>
      <c r="E2" s="2795" t="str">
        <f>'A3-FinPerf V'!A7</f>
        <v>Vote 3 - 103 PLANNING and DEVELOPMENT</v>
      </c>
      <c r="F2" s="2795" t="str">
        <f>'A3-FinPerf V'!A8</f>
        <v>Vote 4 - 104 FINANCE</v>
      </c>
      <c r="G2" s="2795" t="str">
        <f>'A3-FinPerf V'!A9</f>
        <v>Vote 5 - 105 TECHNICAL SERVICES</v>
      </c>
      <c r="H2" s="2795" t="str">
        <f>'A3-FinPerf V'!A10</f>
        <v>Vote 6 - 500 PMU</v>
      </c>
      <c r="I2" s="2795" t="str">
        <f>'A3-FinPerf V'!A11</f>
        <v>Vote 7 - 520 WASTE MANAGEMENT</v>
      </c>
      <c r="J2" s="2795" t="str">
        <f>'A3-FinPerf V'!A12</f>
        <v>Vote 8 - 530 ELECTRICITY SERVICES</v>
      </c>
      <c r="K2" s="2795" t="str">
        <f>'A3-FinPerf V'!A13</f>
        <v>Vote 9 - 540 WATER SERVICES</v>
      </c>
      <c r="L2" s="2795" t="str">
        <f>'A3-FinPerf V'!A14</f>
        <v>Vote 10 - 550 ROADS &amp; STORMWATER</v>
      </c>
      <c r="M2" s="2795" t="str">
        <f>'A3-FinPerf V'!A15</f>
        <v>Vote 11 - 560 SANITATION SERVICES</v>
      </c>
      <c r="N2" s="2795" t="str">
        <f>'A3-FinPerf V'!A16</f>
        <v>Vote 12 - 106 CORPORATE SERVICES</v>
      </c>
      <c r="O2" s="2795" t="str">
        <f>'A3-FinPerf V'!A17</f>
        <v>Vote 13 - 107 COMMUNITY SERVICES</v>
      </c>
      <c r="P2" s="2795" t="str">
        <f>'A3-FinPerf V'!A18</f>
        <v>Vote 14 - 108 PUBLIC SAFETY &amp; ROADS</v>
      </c>
      <c r="Q2" s="2795" t="str">
        <f>'A3-FinPerf V'!A19</f>
        <v>Vote 15 - 300 SPORTS,RECREATION ARTS,CULTURE AND PROPERTY SERVICES</v>
      </c>
      <c r="R2" s="2797" t="s">
        <v>770</v>
      </c>
      <c r="S2" s="1550"/>
    </row>
    <row r="3" spans="1:19" x14ac:dyDescent="0.25">
      <c r="A3" s="180" t="s">
        <v>662</v>
      </c>
      <c r="B3" s="290">
        <v>1</v>
      </c>
      <c r="C3" s="2796" t="s">
        <v>1011</v>
      </c>
      <c r="D3" s="2796" t="s">
        <v>1011</v>
      </c>
      <c r="E3" s="2796" t="s">
        <v>1011</v>
      </c>
      <c r="F3" s="2796" t="s">
        <v>1011</v>
      </c>
      <c r="G3" s="2796" t="s">
        <v>1011</v>
      </c>
      <c r="H3" s="2796" t="s">
        <v>1011</v>
      </c>
      <c r="I3" s="2796"/>
      <c r="J3" s="2796"/>
      <c r="K3" s="2796"/>
      <c r="L3" s="2796"/>
      <c r="M3" s="2796"/>
      <c r="N3" s="2796"/>
      <c r="O3" s="2796"/>
      <c r="P3" s="2796"/>
      <c r="Q3" s="2796" t="s">
        <v>1011</v>
      </c>
      <c r="R3" s="2798" t="s">
        <v>1011</v>
      </c>
    </row>
    <row r="4" spans="1:19" ht="11.25" customHeight="1" x14ac:dyDescent="0.25">
      <c r="A4" s="181" t="str">
        <f>'A4-FinPerf RE'!A4</f>
        <v>Revenue By Source</v>
      </c>
      <c r="B4" s="293"/>
      <c r="C4" s="311"/>
      <c r="D4" s="311"/>
      <c r="E4" s="311"/>
      <c r="F4" s="311"/>
      <c r="G4" s="311"/>
      <c r="H4" s="311"/>
      <c r="I4" s="311"/>
      <c r="J4" s="311"/>
      <c r="K4" s="311"/>
      <c r="L4" s="311"/>
      <c r="M4" s="311"/>
      <c r="N4" s="311"/>
      <c r="O4" s="311"/>
      <c r="P4" s="311"/>
      <c r="Q4" s="311"/>
      <c r="R4" s="419"/>
    </row>
    <row r="5" spans="1:19" ht="11.25" customHeight="1" x14ac:dyDescent="0.25">
      <c r="A5" s="325" t="str">
        <f>'A4-FinPerf RE'!A5</f>
        <v>Property rates</v>
      </c>
      <c r="B5" s="294"/>
      <c r="C5" s="1606">
        <v>0</v>
      </c>
      <c r="D5" s="1606">
        <v>0</v>
      </c>
      <c r="E5" s="1606">
        <v>0</v>
      </c>
      <c r="F5" s="1606">
        <f>A3A!I39</f>
        <v>57411199.609999999</v>
      </c>
      <c r="G5" s="1606">
        <v>0</v>
      </c>
      <c r="H5" s="1606">
        <v>0</v>
      </c>
      <c r="I5" s="1606">
        <v>0</v>
      </c>
      <c r="J5" s="1606">
        <v>0</v>
      </c>
      <c r="K5" s="1606">
        <v>0</v>
      </c>
      <c r="L5" s="1606">
        <v>0</v>
      </c>
      <c r="M5" s="1606">
        <v>0</v>
      </c>
      <c r="N5" s="1606">
        <v>0</v>
      </c>
      <c r="O5" s="1606">
        <v>0</v>
      </c>
      <c r="P5" s="1606">
        <v>0</v>
      </c>
      <c r="Q5" s="1606">
        <v>0</v>
      </c>
      <c r="R5" s="420">
        <f>SUM(C5:Q5)</f>
        <v>57411199.609999999</v>
      </c>
    </row>
    <row r="6" spans="1:19" ht="11.25" customHeight="1" x14ac:dyDescent="0.25">
      <c r="A6" s="325" t="str">
        <f>'A4-FinPerf RE'!A6</f>
        <v>Property rates - penalties &amp; collection charges</v>
      </c>
      <c r="B6" s="294"/>
      <c r="C6" s="1606">
        <v>0</v>
      </c>
      <c r="D6" s="1606">
        <v>0</v>
      </c>
      <c r="E6" s="1606">
        <v>0</v>
      </c>
      <c r="F6" s="1606">
        <v>0</v>
      </c>
      <c r="G6" s="1606">
        <v>0</v>
      </c>
      <c r="H6" s="1606">
        <v>0</v>
      </c>
      <c r="I6" s="1606">
        <v>0</v>
      </c>
      <c r="J6" s="1606">
        <v>0</v>
      </c>
      <c r="K6" s="1606">
        <v>0</v>
      </c>
      <c r="L6" s="1606">
        <v>0</v>
      </c>
      <c r="M6" s="1606">
        <v>0</v>
      </c>
      <c r="N6" s="1606">
        <v>0</v>
      </c>
      <c r="O6" s="1606">
        <v>0</v>
      </c>
      <c r="P6" s="1606">
        <v>0</v>
      </c>
      <c r="Q6" s="1606">
        <v>0</v>
      </c>
      <c r="R6" s="420">
        <f t="shared" ref="R6:R21" si="0">SUM(C6:Q6)</f>
        <v>0</v>
      </c>
    </row>
    <row r="7" spans="1:19" ht="11.25" customHeight="1" x14ac:dyDescent="0.25">
      <c r="A7" s="325" t="str">
        <f>'A4-FinPerf RE'!A7</f>
        <v>Service charges - electricity revenue</v>
      </c>
      <c r="B7" s="294"/>
      <c r="C7" s="1606">
        <v>0</v>
      </c>
      <c r="D7" s="1606">
        <v>0</v>
      </c>
      <c r="E7" s="1606">
        <v>0</v>
      </c>
      <c r="F7" s="1606">
        <v>0</v>
      </c>
      <c r="G7" s="1606">
        <v>0</v>
      </c>
      <c r="H7" s="1606">
        <v>0</v>
      </c>
      <c r="I7" s="1606">
        <v>0</v>
      </c>
      <c r="J7" s="1606">
        <v>0</v>
      </c>
      <c r="K7" s="1606">
        <v>0</v>
      </c>
      <c r="L7" s="1606">
        <v>0</v>
      </c>
      <c r="M7" s="1606">
        <v>0</v>
      </c>
      <c r="N7" s="1606">
        <v>0</v>
      </c>
      <c r="O7" s="1606">
        <v>0</v>
      </c>
      <c r="P7" s="1606">
        <v>0</v>
      </c>
      <c r="Q7" s="1606">
        <v>0</v>
      </c>
      <c r="R7" s="420">
        <f t="shared" si="0"/>
        <v>0</v>
      </c>
    </row>
    <row r="8" spans="1:19" ht="11.25" customHeight="1" x14ac:dyDescent="0.25">
      <c r="A8" s="325" t="str">
        <f>'A4-FinPerf RE'!A8</f>
        <v>Service charges - water revenue</v>
      </c>
      <c r="B8" s="294"/>
      <c r="C8" s="1606">
        <v>0</v>
      </c>
      <c r="D8" s="1606">
        <v>0</v>
      </c>
      <c r="E8" s="1606">
        <v>0</v>
      </c>
      <c r="F8" s="1606">
        <v>0</v>
      </c>
      <c r="G8" s="1606">
        <v>0</v>
      </c>
      <c r="H8" s="1606">
        <v>0</v>
      </c>
      <c r="I8" s="1606">
        <v>0</v>
      </c>
      <c r="J8" s="1606">
        <v>0</v>
      </c>
      <c r="K8" s="1606">
        <f>A3A!I92</f>
        <v>41751688.280000001</v>
      </c>
      <c r="L8" s="1606">
        <v>0</v>
      </c>
      <c r="M8" s="1606">
        <v>0</v>
      </c>
      <c r="N8" s="1606">
        <v>0</v>
      </c>
      <c r="O8" s="1606">
        <v>0</v>
      </c>
      <c r="P8" s="1606">
        <v>0</v>
      </c>
      <c r="Q8" s="1606">
        <v>0</v>
      </c>
      <c r="R8" s="420">
        <f t="shared" si="0"/>
        <v>41751688.280000001</v>
      </c>
    </row>
    <row r="9" spans="1:19" ht="11.25" customHeight="1" x14ac:dyDescent="0.25">
      <c r="A9" s="325" t="str">
        <f>'A4-FinPerf RE'!A9</f>
        <v>Service charges - sanitation revenue</v>
      </c>
      <c r="B9" s="294"/>
      <c r="C9" s="1606">
        <v>0</v>
      </c>
      <c r="D9" s="1606">
        <v>0</v>
      </c>
      <c r="E9" s="1606">
        <v>0</v>
      </c>
      <c r="F9" s="1606">
        <v>0</v>
      </c>
      <c r="G9" s="1606">
        <v>0</v>
      </c>
      <c r="H9" s="1606">
        <v>0</v>
      </c>
      <c r="I9" s="1606">
        <v>0</v>
      </c>
      <c r="J9" s="1606">
        <v>0</v>
      </c>
      <c r="K9" s="1606">
        <v>0</v>
      </c>
      <c r="L9" s="1606">
        <v>0</v>
      </c>
      <c r="M9" s="1606">
        <v>0</v>
      </c>
      <c r="N9" s="1606">
        <v>0</v>
      </c>
      <c r="O9" s="1606">
        <v>0</v>
      </c>
      <c r="P9" s="1606">
        <v>0</v>
      </c>
      <c r="Q9" s="1606">
        <v>0</v>
      </c>
      <c r="R9" s="420">
        <f t="shared" si="0"/>
        <v>0</v>
      </c>
    </row>
    <row r="10" spans="1:19" ht="11.25" customHeight="1" x14ac:dyDescent="0.25">
      <c r="A10" s="325" t="str">
        <f>'A4-FinPerf RE'!A10</f>
        <v>Service charges - refuse revenue</v>
      </c>
      <c r="B10" s="294"/>
      <c r="C10" s="1606">
        <v>0</v>
      </c>
      <c r="D10" s="1606">
        <v>0</v>
      </c>
      <c r="E10" s="1606">
        <v>0</v>
      </c>
      <c r="F10" s="1606">
        <v>0</v>
      </c>
      <c r="G10" s="1606">
        <v>0</v>
      </c>
      <c r="H10" s="1606">
        <v>0</v>
      </c>
      <c r="I10" s="1606">
        <f>A3A!I75+A3A!I76</f>
        <v>15723162.970000001</v>
      </c>
      <c r="J10" s="1606">
        <v>0</v>
      </c>
      <c r="K10" s="1606">
        <v>0</v>
      </c>
      <c r="L10" s="1606">
        <v>0</v>
      </c>
      <c r="M10" s="1606">
        <f>A3A!I105</f>
        <v>1790589.2400000002</v>
      </c>
      <c r="N10" s="1606">
        <v>0</v>
      </c>
      <c r="O10" s="1606">
        <v>0</v>
      </c>
      <c r="P10" s="1606">
        <v>0</v>
      </c>
      <c r="Q10" s="1606">
        <v>0</v>
      </c>
      <c r="R10" s="420">
        <f t="shared" si="0"/>
        <v>17513752.210000001</v>
      </c>
    </row>
    <row r="11" spans="1:19" ht="11.25" customHeight="1" x14ac:dyDescent="0.25">
      <c r="A11" s="325" t="str">
        <f>'A4-FinPerf RE'!A11</f>
        <v>Service charges - other</v>
      </c>
      <c r="B11" s="294"/>
      <c r="C11" s="1606">
        <v>0</v>
      </c>
      <c r="D11" s="1606">
        <v>0</v>
      </c>
      <c r="E11" s="1606">
        <v>0</v>
      </c>
      <c r="F11" s="1606">
        <v>0</v>
      </c>
      <c r="G11" s="1606">
        <v>0</v>
      </c>
      <c r="H11" s="1606">
        <v>0</v>
      </c>
      <c r="I11" s="1606">
        <v>0</v>
      </c>
      <c r="J11" s="1606">
        <v>0</v>
      </c>
      <c r="K11" s="1606">
        <v>0</v>
      </c>
      <c r="L11" s="1606">
        <v>0</v>
      </c>
      <c r="M11" s="1606">
        <v>0</v>
      </c>
      <c r="N11" s="1606">
        <v>0</v>
      </c>
      <c r="O11" s="1606">
        <v>0</v>
      </c>
      <c r="P11" s="1606">
        <v>0</v>
      </c>
      <c r="Q11" s="1606">
        <v>0</v>
      </c>
      <c r="R11" s="420">
        <f t="shared" si="0"/>
        <v>0</v>
      </c>
    </row>
    <row r="12" spans="1:19" ht="11.25" customHeight="1" x14ac:dyDescent="0.25">
      <c r="A12" s="325" t="str">
        <f>'A4-FinPerf RE'!A12</f>
        <v>Rental of facilities and equipment</v>
      </c>
      <c r="B12" s="294"/>
      <c r="C12" s="1606">
        <v>0</v>
      </c>
      <c r="D12" s="1606">
        <v>0</v>
      </c>
      <c r="E12" s="1606">
        <v>0</v>
      </c>
      <c r="F12" s="1606">
        <v>0</v>
      </c>
      <c r="G12" s="1606">
        <v>0</v>
      </c>
      <c r="H12" s="1606">
        <v>0</v>
      </c>
      <c r="I12" s="1606">
        <v>0</v>
      </c>
      <c r="J12" s="1606">
        <v>0</v>
      </c>
      <c r="K12" s="1606">
        <v>0</v>
      </c>
      <c r="L12" s="1606">
        <v>0</v>
      </c>
      <c r="M12" s="1606">
        <v>0</v>
      </c>
      <c r="N12" s="1606">
        <v>0</v>
      </c>
      <c r="O12" s="1606">
        <f>A3A!I122</f>
        <v>458444.1</v>
      </c>
      <c r="P12" s="1606">
        <v>0</v>
      </c>
      <c r="Q12" s="1606">
        <f>A3A!I143</f>
        <v>106956.4</v>
      </c>
      <c r="R12" s="420">
        <f t="shared" si="0"/>
        <v>565400.5</v>
      </c>
    </row>
    <row r="13" spans="1:19" ht="11.25" customHeight="1" x14ac:dyDescent="0.25">
      <c r="A13" s="325" t="str">
        <f>'A4-FinPerf RE'!A13</f>
        <v>Interest earned - external investments</v>
      </c>
      <c r="B13" s="294"/>
      <c r="C13" s="1606">
        <v>0</v>
      </c>
      <c r="D13" s="1606">
        <v>0</v>
      </c>
      <c r="E13" s="1606">
        <v>0</v>
      </c>
      <c r="F13" s="1606">
        <f>A3A!I41+A3A!I42</f>
        <v>2468986.65</v>
      </c>
      <c r="G13" s="1606">
        <v>0</v>
      </c>
      <c r="H13" s="1606">
        <v>0</v>
      </c>
      <c r="I13" s="1606">
        <v>0</v>
      </c>
      <c r="J13" s="1606">
        <v>0</v>
      </c>
      <c r="K13" s="1606">
        <v>0</v>
      </c>
      <c r="L13" s="1606">
        <v>0</v>
      </c>
      <c r="M13" s="1606">
        <v>0</v>
      </c>
      <c r="N13" s="1606">
        <v>0</v>
      </c>
      <c r="O13" s="1606">
        <v>0</v>
      </c>
      <c r="P13" s="1606">
        <v>0</v>
      </c>
      <c r="Q13" s="1606">
        <v>0</v>
      </c>
      <c r="R13" s="420">
        <f t="shared" si="0"/>
        <v>2468986.65</v>
      </c>
    </row>
    <row r="14" spans="1:19" ht="11.25" customHeight="1" x14ac:dyDescent="0.25">
      <c r="A14" s="325" t="str">
        <f>'A4-FinPerf RE'!A14</f>
        <v>Interest earned - outstanding debtors</v>
      </c>
      <c r="B14" s="294"/>
      <c r="C14" s="1606">
        <v>0</v>
      </c>
      <c r="D14" s="1606">
        <v>0</v>
      </c>
      <c r="E14" s="1606">
        <v>0</v>
      </c>
      <c r="F14" s="1606">
        <f>A3A!I43</f>
        <v>24476555</v>
      </c>
      <c r="G14" s="1606">
        <v>0</v>
      </c>
      <c r="H14" s="1606">
        <v>0</v>
      </c>
      <c r="I14" s="1606">
        <v>0</v>
      </c>
      <c r="J14" s="1606">
        <v>0</v>
      </c>
      <c r="K14" s="1606">
        <v>0</v>
      </c>
      <c r="L14" s="1606">
        <v>0</v>
      </c>
      <c r="M14" s="1606">
        <v>0</v>
      </c>
      <c r="N14" s="1606">
        <v>0</v>
      </c>
      <c r="O14" s="1606">
        <v>0</v>
      </c>
      <c r="P14" s="1606">
        <v>0</v>
      </c>
      <c r="Q14" s="1606">
        <v>0</v>
      </c>
      <c r="R14" s="420">
        <f t="shared" si="0"/>
        <v>24476555</v>
      </c>
    </row>
    <row r="15" spans="1:19" ht="11.25" customHeight="1" x14ac:dyDescent="0.25">
      <c r="A15" s="325" t="str">
        <f>'A4-FinPerf RE'!A15</f>
        <v>Dividends received</v>
      </c>
      <c r="B15" s="294"/>
      <c r="C15" s="1606">
        <v>0</v>
      </c>
      <c r="D15" s="1606">
        <v>0</v>
      </c>
      <c r="E15" s="1606">
        <v>0</v>
      </c>
      <c r="F15" s="1606">
        <v>0</v>
      </c>
      <c r="G15" s="1606">
        <v>0</v>
      </c>
      <c r="H15" s="1606">
        <v>0</v>
      </c>
      <c r="I15" s="1606">
        <v>0</v>
      </c>
      <c r="J15" s="1606">
        <v>0</v>
      </c>
      <c r="K15" s="1606">
        <v>0</v>
      </c>
      <c r="L15" s="1606">
        <v>0</v>
      </c>
      <c r="M15" s="1606">
        <v>0</v>
      </c>
      <c r="N15" s="1606">
        <v>0</v>
      </c>
      <c r="O15" s="1606">
        <v>0</v>
      </c>
      <c r="P15" s="1606">
        <v>0</v>
      </c>
      <c r="Q15" s="1606">
        <v>0</v>
      </c>
      <c r="R15" s="420">
        <f t="shared" si="0"/>
        <v>0</v>
      </c>
    </row>
    <row r="16" spans="1:19" ht="11.25" customHeight="1" x14ac:dyDescent="0.25">
      <c r="A16" s="325" t="str">
        <f>'A4-FinPerf RE'!A16</f>
        <v>Fines</v>
      </c>
      <c r="B16" s="294"/>
      <c r="C16" s="1606">
        <v>0</v>
      </c>
      <c r="D16" s="1606">
        <v>0</v>
      </c>
      <c r="E16" s="1606">
        <v>0</v>
      </c>
      <c r="F16" s="1606">
        <v>0</v>
      </c>
      <c r="G16" s="1606">
        <v>0</v>
      </c>
      <c r="H16" s="1606">
        <v>0</v>
      </c>
      <c r="I16" s="1606">
        <v>0</v>
      </c>
      <c r="J16" s="1606">
        <v>0</v>
      </c>
      <c r="K16" s="1606">
        <v>0</v>
      </c>
      <c r="L16" s="1606">
        <v>0</v>
      </c>
      <c r="M16" s="1606">
        <v>0</v>
      </c>
      <c r="N16" s="1606">
        <v>0</v>
      </c>
      <c r="O16" s="1606">
        <v>0</v>
      </c>
      <c r="P16" s="1606">
        <f>A3A!I137</f>
        <v>1500000</v>
      </c>
      <c r="Q16" s="1606">
        <v>0</v>
      </c>
      <c r="R16" s="420">
        <f t="shared" si="0"/>
        <v>1500000</v>
      </c>
    </row>
    <row r="17" spans="1:18" ht="11.25" customHeight="1" x14ac:dyDescent="0.25">
      <c r="A17" s="325" t="str">
        <f>'A4-FinPerf RE'!A17</f>
        <v>Licences and permits</v>
      </c>
      <c r="B17" s="294"/>
      <c r="C17" s="1606">
        <v>0</v>
      </c>
      <c r="D17" s="1606">
        <v>0</v>
      </c>
      <c r="E17" s="1606">
        <v>0</v>
      </c>
      <c r="F17" s="1606">
        <v>0</v>
      </c>
      <c r="G17" s="1606">
        <v>0</v>
      </c>
      <c r="H17" s="1606">
        <v>0</v>
      </c>
      <c r="I17" s="1606">
        <v>0</v>
      </c>
      <c r="J17" s="1606">
        <v>0</v>
      </c>
      <c r="K17" s="1606">
        <v>0</v>
      </c>
      <c r="L17" s="1606">
        <v>0</v>
      </c>
      <c r="M17" s="1606">
        <v>0</v>
      </c>
      <c r="N17" s="1606">
        <v>0</v>
      </c>
      <c r="O17" s="1606">
        <f>A3A!I125</f>
        <v>312137.51</v>
      </c>
      <c r="P17" s="1606">
        <v>0</v>
      </c>
      <c r="Q17" s="1606">
        <v>0</v>
      </c>
      <c r="R17" s="420">
        <f t="shared" si="0"/>
        <v>312137.51</v>
      </c>
    </row>
    <row r="18" spans="1:18" ht="11.25" customHeight="1" x14ac:dyDescent="0.25">
      <c r="A18" s="325" t="str">
        <f>'A4-FinPerf RE'!A18</f>
        <v>Agency services</v>
      </c>
      <c r="B18" s="294"/>
      <c r="C18" s="1606">
        <v>0</v>
      </c>
      <c r="D18" s="1606">
        <v>0</v>
      </c>
      <c r="E18" s="1606">
        <v>0</v>
      </c>
      <c r="F18" s="1606">
        <v>0</v>
      </c>
      <c r="G18" s="1606">
        <v>0</v>
      </c>
      <c r="H18" s="1606">
        <v>0</v>
      </c>
      <c r="I18" s="1606">
        <v>0</v>
      </c>
      <c r="J18" s="1606">
        <v>0</v>
      </c>
      <c r="K18" s="1606">
        <v>0</v>
      </c>
      <c r="L18" s="1606">
        <v>0</v>
      </c>
      <c r="M18" s="1606">
        <v>0</v>
      </c>
      <c r="N18" s="1606">
        <v>0</v>
      </c>
      <c r="O18" s="1606">
        <v>0</v>
      </c>
      <c r="P18" s="1606">
        <f>A3A!I139</f>
        <v>6136400</v>
      </c>
      <c r="Q18" s="1606">
        <v>0</v>
      </c>
      <c r="R18" s="420">
        <f t="shared" si="0"/>
        <v>6136400</v>
      </c>
    </row>
    <row r="19" spans="1:18" ht="11.25" customHeight="1" x14ac:dyDescent="0.25">
      <c r="A19" s="190" t="str">
        <f>'A4-FinPerf RE'!A20</f>
        <v>Other revenue</v>
      </c>
      <c r="B19" s="293"/>
      <c r="C19" s="1606">
        <v>0</v>
      </c>
      <c r="D19" s="1606">
        <v>0</v>
      </c>
      <c r="E19" s="1606">
        <v>0</v>
      </c>
      <c r="F19" s="1606">
        <f>A3A!I55+A3A!I49+A3A!I48</f>
        <v>6214492.2699999996</v>
      </c>
      <c r="G19" s="1606">
        <f>A3A!I64</f>
        <v>158042.98000000001</v>
      </c>
      <c r="H19" s="1606">
        <v>0</v>
      </c>
      <c r="I19" s="1606">
        <f>A3A!I77</f>
        <v>1482</v>
      </c>
      <c r="J19" s="1606">
        <v>0</v>
      </c>
      <c r="K19" s="1606">
        <f>A3A!I87+A3A!I88+A3A!I91+A3A!I97</f>
        <v>337689.19</v>
      </c>
      <c r="L19" s="1606">
        <v>0</v>
      </c>
      <c r="M19" s="1606">
        <f>A3A!I106+A3A!I107</f>
        <v>253634.34</v>
      </c>
      <c r="N19" s="1606">
        <v>0</v>
      </c>
      <c r="O19" s="1606">
        <f>A3A!I121+A3A!I123+A3A!I124+A3A!I126+A3A!I127+A3A!I128+A3A!I130+A3A!I131</f>
        <v>20444616.25</v>
      </c>
      <c r="P19" s="1606">
        <v>0</v>
      </c>
      <c r="Q19" s="1606">
        <v>0</v>
      </c>
      <c r="R19" s="420">
        <f t="shared" si="0"/>
        <v>27409957.030000001</v>
      </c>
    </row>
    <row r="20" spans="1:18" ht="11.25" customHeight="1" x14ac:dyDescent="0.25">
      <c r="A20" s="325" t="str">
        <f>'A4-FinPerf RE'!A19</f>
        <v>Transfers recognised - operational</v>
      </c>
      <c r="B20" s="294"/>
      <c r="C20" s="1606">
        <v>0</v>
      </c>
      <c r="D20" s="1606">
        <v>0</v>
      </c>
      <c r="E20" s="1606">
        <v>0</v>
      </c>
      <c r="F20" s="1606">
        <f>A3A!I45+A3A!I46+A3A!I47</f>
        <v>291174000</v>
      </c>
      <c r="G20" s="1606">
        <v>0</v>
      </c>
      <c r="H20" s="1606">
        <v>0</v>
      </c>
      <c r="I20" s="1606">
        <f>A3A!I78</f>
        <v>3117000</v>
      </c>
      <c r="J20" s="1606">
        <v>0</v>
      </c>
      <c r="K20" s="1606">
        <f>A3A!I86</f>
        <v>15000000</v>
      </c>
      <c r="L20" s="1606">
        <v>0</v>
      </c>
      <c r="M20" s="1606">
        <v>0</v>
      </c>
      <c r="N20" s="1606">
        <v>0</v>
      </c>
      <c r="O20" s="1606">
        <v>0</v>
      </c>
      <c r="P20" s="1606">
        <v>0</v>
      </c>
      <c r="Q20" s="1606">
        <v>0</v>
      </c>
      <c r="R20" s="420">
        <f t="shared" si="0"/>
        <v>309291000</v>
      </c>
    </row>
    <row r="21" spans="1:18" ht="11.25" customHeight="1" x14ac:dyDescent="0.25">
      <c r="A21" s="190" t="str">
        <f>'A4-FinPerf RE'!A21</f>
        <v>Gains on disposal of PPE</v>
      </c>
      <c r="B21" s="293"/>
      <c r="C21" s="1606">
        <v>0</v>
      </c>
      <c r="D21" s="1606">
        <v>0</v>
      </c>
      <c r="E21" s="1606">
        <v>0</v>
      </c>
      <c r="F21" s="1606">
        <v>0</v>
      </c>
      <c r="G21" s="1606">
        <v>0</v>
      </c>
      <c r="H21" s="1606">
        <v>0</v>
      </c>
      <c r="I21" s="1606">
        <v>0</v>
      </c>
      <c r="J21" s="1606">
        <v>0</v>
      </c>
      <c r="K21" s="1606">
        <v>0</v>
      </c>
      <c r="L21" s="1606">
        <v>0</v>
      </c>
      <c r="M21" s="1606">
        <v>0</v>
      </c>
      <c r="N21" s="1606">
        <v>0</v>
      </c>
      <c r="O21" s="1606">
        <v>0</v>
      </c>
      <c r="P21" s="1606">
        <v>0</v>
      </c>
      <c r="Q21" s="1606">
        <v>0</v>
      </c>
      <c r="R21" s="420">
        <f t="shared" si="0"/>
        <v>0</v>
      </c>
    </row>
    <row r="22" spans="1:18" ht="11.25" customHeight="1" x14ac:dyDescent="0.25">
      <c r="A22" s="326" t="str">
        <f>'A4-FinPerf RE'!A22</f>
        <v>Total Revenue (excluding capital transfers and contributions)</v>
      </c>
      <c r="B22" s="293"/>
      <c r="C22" s="213">
        <f t="shared" ref="C22:R22" si="1">SUM(C5:C21)</f>
        <v>0</v>
      </c>
      <c r="D22" s="213">
        <f t="shared" si="1"/>
        <v>0</v>
      </c>
      <c r="E22" s="213">
        <f t="shared" si="1"/>
        <v>0</v>
      </c>
      <c r="F22" s="213">
        <f t="shared" si="1"/>
        <v>381745233.52999997</v>
      </c>
      <c r="G22" s="213">
        <f t="shared" si="1"/>
        <v>158042.98000000001</v>
      </c>
      <c r="H22" s="213">
        <f t="shared" si="1"/>
        <v>0</v>
      </c>
      <c r="I22" s="213">
        <f t="shared" si="1"/>
        <v>18841644.969999999</v>
      </c>
      <c r="J22" s="213">
        <f t="shared" si="1"/>
        <v>0</v>
      </c>
      <c r="K22" s="213">
        <f t="shared" si="1"/>
        <v>57089377.469999999</v>
      </c>
      <c r="L22" s="213">
        <f t="shared" si="1"/>
        <v>0</v>
      </c>
      <c r="M22" s="213">
        <f t="shared" si="1"/>
        <v>2044223.5800000003</v>
      </c>
      <c r="N22" s="213">
        <f t="shared" si="1"/>
        <v>0</v>
      </c>
      <c r="O22" s="213">
        <f t="shared" si="1"/>
        <v>21215197.859999999</v>
      </c>
      <c r="P22" s="213">
        <f t="shared" si="1"/>
        <v>7636400</v>
      </c>
      <c r="Q22" s="213">
        <f t="shared" si="1"/>
        <v>106956.4</v>
      </c>
      <c r="R22" s="421">
        <f t="shared" si="1"/>
        <v>488837076.78999996</v>
      </c>
    </row>
    <row r="23" spans="1:18" ht="5.0999999999999996" customHeight="1" x14ac:dyDescent="0.25">
      <c r="A23" s="201"/>
      <c r="B23" s="293"/>
      <c r="C23" s="203"/>
      <c r="D23" s="203"/>
      <c r="E23" s="203"/>
      <c r="F23" s="203"/>
      <c r="G23" s="203"/>
      <c r="H23" s="203"/>
      <c r="I23" s="203"/>
      <c r="J23" s="203"/>
      <c r="K23" s="203"/>
      <c r="L23" s="203"/>
      <c r="M23" s="203"/>
      <c r="N23" s="203"/>
      <c r="O23" s="203"/>
      <c r="P23" s="203"/>
      <c r="Q23" s="203"/>
      <c r="R23" s="420"/>
    </row>
    <row r="24" spans="1:18" ht="11.25" customHeight="1" x14ac:dyDescent="0.25">
      <c r="A24" s="181" t="str">
        <f>'A4-FinPerf RE'!A24</f>
        <v>Expenditure By Type</v>
      </c>
      <c r="B24" s="295"/>
      <c r="C24" s="203"/>
      <c r="D24" s="203"/>
      <c r="E24" s="203"/>
      <c r="F24" s="203"/>
      <c r="G24" s="203"/>
      <c r="H24" s="203"/>
      <c r="I24" s="203"/>
      <c r="J24" s="203"/>
      <c r="K24" s="203"/>
      <c r="L24" s="203"/>
      <c r="M24" s="203"/>
      <c r="N24" s="203"/>
      <c r="O24" s="203"/>
      <c r="P24" s="203"/>
      <c r="Q24" s="203"/>
      <c r="R24" s="420"/>
    </row>
    <row r="25" spans="1:18" ht="11.25" customHeight="1" x14ac:dyDescent="0.25">
      <c r="A25" s="325" t="str">
        <f>'A4-FinPerf RE'!A25</f>
        <v>Employee related costs</v>
      </c>
      <c r="B25" s="294"/>
      <c r="C25" s="1606">
        <v>0</v>
      </c>
      <c r="D25" s="1606">
        <f>A3A!I218+A3A!I219+A3A!I220+A3A!I223+A3A!I224+A3A!I227+A3A!I228+A3A!I229+A3A!I234</f>
        <v>10086931</v>
      </c>
      <c r="E25" s="1606">
        <f>A3A!I253+A3A!I254+A3A!I255+A3A!I258+A3A!I259+A3A!I262+A3A!I265+A3A!I266+A3A!I270</f>
        <v>2282116</v>
      </c>
      <c r="F25" s="1606">
        <f>A3A!I288+A3A!I289+A3A!I290+A3A!I291+A3A!I293+A3A!I294+A3A!I296+A3A!I297+A3A!I299+A3A!I300+A3A!I309+A3A!I323</f>
        <v>12576148</v>
      </c>
      <c r="G25" s="1606">
        <f>A3A!I350+A3A!I351+A3A!I352+A3A!I355+A3A!I356+A3A!I359+A3A!I360+A3A!I362+A3A!I371</f>
        <v>1895818</v>
      </c>
      <c r="H25" s="1606">
        <f>A3A!I376+A3A!I377+A3A!I378+A3A!I381+A3A!I382+A3A!I385+A3A!I387+A3A!I388+A3A!I396</f>
        <v>3500184</v>
      </c>
      <c r="I25" s="1606">
        <f>A3A!I413+A3A!I414+A3A!I415+A3A!I416+A3A!I417+A3A!I418+A3A!I419+A3A!I420+A3A!I421</f>
        <v>4960127</v>
      </c>
      <c r="J25" s="1606">
        <f>A3A!I434+A3A!I435+A3A!I436+A3A!I439+A3A!I440+A3A!I443+A3A!I445+A3A!I447</f>
        <v>1961755</v>
      </c>
      <c r="K25" s="1606">
        <f>A3A!I455+A3A!I456+A3A!I457+A3A!I460+A3A!I461+A3A!I463+A3A!I464+A3A!I467+A3A!I469</f>
        <v>13597361</v>
      </c>
      <c r="L25" s="1606">
        <f>A3A!I498+A3A!I499+A3A!I500+A3A!I503+A3A!I504+A3A!I508+A3A!I509+A3A!I511</f>
        <v>11196124.210000001</v>
      </c>
      <c r="M25" s="1606">
        <f>A3A!I528+A3A!I529+A3A!I530+A3A!I531+A3A!I532+A3A!I533+A3A!I535+A3A!I536</f>
        <v>5503456</v>
      </c>
      <c r="N25" s="1606">
        <f>A3A!I542+A3A!I543+A3A!I544+A3A!I545+A3A!I547+A3A!I548+A3A!I550+A3A!I551+A3A!I553+A3A!I554+A3A!I555+A3A!I560</f>
        <v>12720474.91</v>
      </c>
      <c r="O25" s="1606">
        <f>A3A!I592+A3A!I593+A3A!I594+A3A!I595+A3A!I597+A3A!I598+A3A!I601+A3A!I603+A3A!I604+A3A!I607</f>
        <v>5794531</v>
      </c>
      <c r="P25" s="1606">
        <f>A3A!I662+A3A!I663+A3A!I664+A3A!I667+A3A!I668+A3A!I670+A3A!I672+A3A!I677</f>
        <v>12385851</v>
      </c>
      <c r="Q25" s="1606">
        <f>A3A!I692+A3A!I693+A3A!I694+A3A!I695+A3A!I696+A3A!I697+A3A!I699+A3A!I700</f>
        <v>8879633</v>
      </c>
      <c r="R25" s="420">
        <f>SUM(C25:Q25)</f>
        <v>107340510.12</v>
      </c>
    </row>
    <row r="26" spans="1:18" ht="11.25" customHeight="1" x14ac:dyDescent="0.25">
      <c r="A26" s="325" t="str">
        <f>'A4-FinPerf RE'!A26</f>
        <v>Remuneration of councillors</v>
      </c>
      <c r="B26" s="294"/>
      <c r="C26" s="1606">
        <f>A3A!I157+A3A!I158+A3A!I159+A3A!I160+A3A!I161+A3A!I162+A3A!I168</f>
        <v>18462499.52</v>
      </c>
      <c r="D26" s="1606">
        <v>0</v>
      </c>
      <c r="E26" s="1606">
        <v>0</v>
      </c>
      <c r="F26" s="1606">
        <v>0</v>
      </c>
      <c r="G26" s="1606">
        <v>0</v>
      </c>
      <c r="H26" s="1606">
        <v>0</v>
      </c>
      <c r="I26" s="1606">
        <v>0</v>
      </c>
      <c r="J26" s="1606">
        <v>0</v>
      </c>
      <c r="K26" s="1606">
        <v>0</v>
      </c>
      <c r="L26" s="1606">
        <v>0</v>
      </c>
      <c r="M26" s="1606">
        <v>0</v>
      </c>
      <c r="N26" s="1606">
        <v>0</v>
      </c>
      <c r="O26" s="1606">
        <v>0</v>
      </c>
      <c r="P26" s="1606">
        <v>0</v>
      </c>
      <c r="Q26" s="1606">
        <v>0</v>
      </c>
      <c r="R26" s="420">
        <f t="shared" ref="R26:R35" si="2">SUM(C26:Q26)</f>
        <v>18462499.52</v>
      </c>
    </row>
    <row r="27" spans="1:18" ht="11.25" customHeight="1" x14ac:dyDescent="0.25">
      <c r="A27" s="325" t="str">
        <f>'A4-FinPerf RE'!A27</f>
        <v>Debt impairment</v>
      </c>
      <c r="B27" s="294"/>
      <c r="C27" s="1606">
        <f>A3A!I212</f>
        <v>58685065</v>
      </c>
      <c r="D27" s="1606">
        <v>0</v>
      </c>
      <c r="E27" s="1606">
        <v>0</v>
      </c>
      <c r="F27" s="1606">
        <v>0</v>
      </c>
      <c r="G27" s="1606">
        <v>0</v>
      </c>
      <c r="H27" s="1606">
        <v>0</v>
      </c>
      <c r="I27" s="1606">
        <v>0</v>
      </c>
      <c r="J27" s="1606">
        <v>0</v>
      </c>
      <c r="K27" s="1606">
        <v>0</v>
      </c>
      <c r="L27" s="1606">
        <v>0</v>
      </c>
      <c r="M27" s="1606">
        <v>0</v>
      </c>
      <c r="N27" s="1606">
        <v>0</v>
      </c>
      <c r="O27" s="1606">
        <v>0</v>
      </c>
      <c r="P27" s="1606">
        <v>0</v>
      </c>
      <c r="Q27" s="1606">
        <v>0</v>
      </c>
      <c r="R27" s="420">
        <f t="shared" si="2"/>
        <v>58685065</v>
      </c>
    </row>
    <row r="28" spans="1:18" ht="11.25" customHeight="1" x14ac:dyDescent="0.25">
      <c r="A28" s="325" t="str">
        <f>'A4-FinPerf RE'!A28</f>
        <v>Depreciation &amp; asset impairment</v>
      </c>
      <c r="B28" s="294"/>
      <c r="C28" s="1606">
        <f>A3A!I198+A3A!I199+A3A!I200+A3A!I201+A3A!I202+A3A!I203+A3A!I204+A3A!I197</f>
        <v>151000100</v>
      </c>
      <c r="D28" s="1606">
        <v>0</v>
      </c>
      <c r="E28" s="1606">
        <v>0</v>
      </c>
      <c r="F28" s="1606">
        <v>0</v>
      </c>
      <c r="G28" s="1606">
        <v>0</v>
      </c>
      <c r="H28" s="1606">
        <v>0</v>
      </c>
      <c r="I28" s="1606">
        <v>0</v>
      </c>
      <c r="J28" s="1606">
        <v>0</v>
      </c>
      <c r="K28" s="1606">
        <v>0</v>
      </c>
      <c r="L28" s="1606">
        <v>0</v>
      </c>
      <c r="M28" s="1606">
        <v>0</v>
      </c>
      <c r="N28" s="1606">
        <v>0</v>
      </c>
      <c r="O28" s="1606">
        <v>0</v>
      </c>
      <c r="P28" s="1606">
        <v>0</v>
      </c>
      <c r="Q28" s="1606">
        <v>0</v>
      </c>
      <c r="R28" s="420">
        <f t="shared" si="2"/>
        <v>151000100</v>
      </c>
    </row>
    <row r="29" spans="1:18" ht="11.25" customHeight="1" x14ac:dyDescent="0.25">
      <c r="A29" s="325" t="str">
        <f>'A4-FinPerf RE'!A29</f>
        <v>Finance charges</v>
      </c>
      <c r="B29" s="294"/>
      <c r="C29" s="1606">
        <v>0</v>
      </c>
      <c r="D29" s="1606">
        <v>0</v>
      </c>
      <c r="E29" s="1606">
        <v>0</v>
      </c>
      <c r="F29" s="1606">
        <v>0</v>
      </c>
      <c r="G29" s="1606">
        <v>0</v>
      </c>
      <c r="H29" s="1606">
        <v>0</v>
      </c>
      <c r="I29" s="1606">
        <v>0</v>
      </c>
      <c r="J29" s="1606">
        <v>0</v>
      </c>
      <c r="K29" s="1606">
        <v>0</v>
      </c>
      <c r="L29" s="1606">
        <v>0</v>
      </c>
      <c r="M29" s="1606">
        <v>0</v>
      </c>
      <c r="N29" s="1606">
        <v>0</v>
      </c>
      <c r="O29" s="1606">
        <v>0</v>
      </c>
      <c r="P29" s="1606">
        <v>0</v>
      </c>
      <c r="Q29" s="1606">
        <v>0</v>
      </c>
      <c r="R29" s="420">
        <f t="shared" si="2"/>
        <v>0</v>
      </c>
    </row>
    <row r="30" spans="1:18" ht="11.25" customHeight="1" x14ac:dyDescent="0.25">
      <c r="A30" s="325" t="str">
        <f>'A4-FinPerf RE'!A30</f>
        <v>Bulk purchases</v>
      </c>
      <c r="B30" s="294"/>
      <c r="C30" s="1606">
        <v>0</v>
      </c>
      <c r="D30" s="1606">
        <v>0</v>
      </c>
      <c r="E30" s="1606">
        <v>0</v>
      </c>
      <c r="F30" s="1606">
        <v>0</v>
      </c>
      <c r="G30" s="1606">
        <v>0</v>
      </c>
      <c r="H30" s="1606">
        <v>0</v>
      </c>
      <c r="I30" s="1606">
        <v>0</v>
      </c>
      <c r="J30" s="1606">
        <v>0</v>
      </c>
      <c r="K30" s="1606">
        <f>'A4-FinPerf RE'!J30</f>
        <v>149641061</v>
      </c>
      <c r="L30" s="1606">
        <v>0</v>
      </c>
      <c r="M30" s="1606">
        <v>0</v>
      </c>
      <c r="N30" s="1606">
        <v>0</v>
      </c>
      <c r="O30" s="1606">
        <v>0</v>
      </c>
      <c r="P30" s="1606">
        <v>0</v>
      </c>
      <c r="Q30" s="1606">
        <v>0</v>
      </c>
      <c r="R30" s="420">
        <f t="shared" si="2"/>
        <v>149641061</v>
      </c>
    </row>
    <row r="31" spans="1:18" ht="11.25" customHeight="1" x14ac:dyDescent="0.25">
      <c r="A31" s="325" t="str">
        <f>'A4-FinPerf RE'!A31</f>
        <v>Other materials</v>
      </c>
      <c r="B31" s="294"/>
      <c r="C31" s="1606">
        <v>0</v>
      </c>
      <c r="D31" s="1606">
        <v>0</v>
      </c>
      <c r="E31" s="1606">
        <v>0</v>
      </c>
      <c r="F31" s="1606">
        <v>0</v>
      </c>
      <c r="G31" s="1606">
        <v>0</v>
      </c>
      <c r="H31" s="1606">
        <v>0</v>
      </c>
      <c r="I31" s="1606">
        <v>0</v>
      </c>
      <c r="J31" s="1606">
        <f>A3A!I449</f>
        <v>100000</v>
      </c>
      <c r="K31" s="1606">
        <f>A3A!I470</f>
        <v>250000</v>
      </c>
      <c r="L31" s="1606">
        <f>A3A!I523</f>
        <v>600000</v>
      </c>
      <c r="M31" s="1606">
        <v>0</v>
      </c>
      <c r="N31" s="1606">
        <v>0</v>
      </c>
      <c r="O31" s="1606">
        <v>0</v>
      </c>
      <c r="P31" s="1606">
        <v>0</v>
      </c>
      <c r="Q31" s="1606">
        <f>A3A!I705</f>
        <v>150000</v>
      </c>
      <c r="R31" s="420">
        <f t="shared" si="2"/>
        <v>1100000</v>
      </c>
    </row>
    <row r="32" spans="1:18" ht="11.25" customHeight="1" x14ac:dyDescent="0.25">
      <c r="A32" s="325" t="str">
        <f>'A4-FinPerf RE'!A32</f>
        <v>Contracted services</v>
      </c>
      <c r="B32" s="294"/>
      <c r="C32" s="1606">
        <v>0</v>
      </c>
      <c r="D32" s="1606">
        <v>0</v>
      </c>
      <c r="E32" s="1606">
        <v>0</v>
      </c>
      <c r="F32" s="1606">
        <v>0</v>
      </c>
      <c r="G32" s="1606">
        <v>0</v>
      </c>
      <c r="H32" s="1606">
        <v>0</v>
      </c>
      <c r="I32" s="1606">
        <v>0</v>
      </c>
      <c r="J32" s="1606">
        <v>0</v>
      </c>
      <c r="K32" s="1606">
        <v>0</v>
      </c>
      <c r="L32" s="1606">
        <v>0</v>
      </c>
      <c r="M32" s="1606">
        <v>0</v>
      </c>
      <c r="N32" s="1606">
        <v>0</v>
      </c>
      <c r="O32" s="1606">
        <v>0</v>
      </c>
      <c r="P32" s="1606">
        <f>A3A!I686</f>
        <v>11000000</v>
      </c>
      <c r="Q32" s="1606">
        <v>0</v>
      </c>
      <c r="R32" s="420">
        <f t="shared" si="2"/>
        <v>11000000</v>
      </c>
    </row>
    <row r="33" spans="1:21" ht="11.25" customHeight="1" x14ac:dyDescent="0.25">
      <c r="A33" s="325" t="str">
        <f>'A4-FinPerf RE'!A33</f>
        <v>Transfers and grants</v>
      </c>
      <c r="B33" s="294"/>
      <c r="C33" s="1606">
        <f>A3A!I213</f>
        <v>4300000</v>
      </c>
      <c r="D33" s="1606">
        <v>0</v>
      </c>
      <c r="E33" s="1606">
        <v>0</v>
      </c>
      <c r="F33" s="1606">
        <v>0</v>
      </c>
      <c r="G33" s="1606">
        <v>0</v>
      </c>
      <c r="H33" s="1606">
        <v>0</v>
      </c>
      <c r="I33" s="1606">
        <v>0</v>
      </c>
      <c r="J33" s="1606">
        <v>0</v>
      </c>
      <c r="K33" s="1606">
        <v>0</v>
      </c>
      <c r="L33" s="1606">
        <v>0</v>
      </c>
      <c r="M33" s="1606">
        <v>0</v>
      </c>
      <c r="N33" s="1606">
        <v>0</v>
      </c>
      <c r="O33" s="1606">
        <v>0</v>
      </c>
      <c r="P33" s="1606">
        <v>0</v>
      </c>
      <c r="Q33" s="1606">
        <v>0</v>
      </c>
      <c r="R33" s="420">
        <f t="shared" si="2"/>
        <v>4300000</v>
      </c>
    </row>
    <row r="34" spans="1:21" ht="11.25" customHeight="1" x14ac:dyDescent="0.25">
      <c r="A34" s="325" t="str">
        <f>'A4-FinPerf RE'!A34</f>
        <v>Other expenditure</v>
      </c>
      <c r="B34" s="294"/>
      <c r="C34" s="1606">
        <f>A3A!I171+A3A!I174+A3A!I176+A3A!I188+A3A!I189+A3A!I191+A3A!I211+A3A!I215+A3A!I192</f>
        <v>11723871</v>
      </c>
      <c r="D34" s="1606">
        <f>A3A!I230+A3A!I240+A3A!I241+A3A!I244+A3A!I245+A3A!I246</f>
        <v>9322051</v>
      </c>
      <c r="E34" s="1606">
        <f>A3A!I279</f>
        <v>100000</v>
      </c>
      <c r="F34" s="1606">
        <f>A3A!I306+A3A!I325+A3A!I328+A3A!I329+A3A!I338+A3A!I346+A3A!I330</f>
        <v>60330000</v>
      </c>
      <c r="G34" s="1606">
        <v>0</v>
      </c>
      <c r="H34" s="1606">
        <f>A3A!I410+A3A!I405+A3A!I403+A3A!I401+A3A!I399+A3A!I395+A3A!I390</f>
        <v>399781</v>
      </c>
      <c r="I34" s="1606">
        <f>3117000+A3A!I427</f>
        <v>3217000</v>
      </c>
      <c r="J34" s="1606">
        <f>A3A!I450</f>
        <v>100000</v>
      </c>
      <c r="K34" s="1606">
        <f>A3A!I484+A3A!I486+A3A!I490+A3A!I494+A3A!I473+A3A!I471</f>
        <v>30341640</v>
      </c>
      <c r="L34" s="1606">
        <f>A3A!I517</f>
        <v>600000</v>
      </c>
      <c r="M34" s="1606">
        <f>A3A!I537</f>
        <v>300000</v>
      </c>
      <c r="N34" s="1606">
        <f>A3A!I556+A3A!I559+A3A!I561+A3A!I563+A3A!I566+A3A!I568+A3A!I569+A3A!I570+A3A!I575+A3A!I576+A3A!I577+A3A!I578+A3A!I581+A3A!I582+A3A!I585</f>
        <v>11530000</v>
      </c>
      <c r="O34" s="1606">
        <f>A3A!I638+A3A!I641</f>
        <v>450000</v>
      </c>
      <c r="P34" s="1606">
        <v>0</v>
      </c>
      <c r="Q34" s="1606">
        <v>0</v>
      </c>
      <c r="R34" s="420">
        <f t="shared" si="2"/>
        <v>128414343</v>
      </c>
    </row>
    <row r="35" spans="1:21" ht="11.25" customHeight="1" x14ac:dyDescent="0.25">
      <c r="A35" s="325" t="str">
        <f>'A4-FinPerf RE'!A35</f>
        <v>Loss on disposal of PPE</v>
      </c>
      <c r="B35" s="294"/>
      <c r="C35" s="1606">
        <v>0</v>
      </c>
      <c r="D35" s="1606">
        <v>0</v>
      </c>
      <c r="E35" s="1606">
        <v>0</v>
      </c>
      <c r="F35" s="1606">
        <v>0</v>
      </c>
      <c r="G35" s="1606">
        <v>0</v>
      </c>
      <c r="H35" s="1606">
        <v>0</v>
      </c>
      <c r="I35" s="1606">
        <v>0</v>
      </c>
      <c r="J35" s="1606">
        <v>0</v>
      </c>
      <c r="K35" s="1606">
        <v>0</v>
      </c>
      <c r="L35" s="1606">
        <v>0</v>
      </c>
      <c r="M35" s="1606">
        <v>0</v>
      </c>
      <c r="N35" s="1606">
        <v>0</v>
      </c>
      <c r="O35" s="1606">
        <v>0</v>
      </c>
      <c r="P35" s="1606">
        <v>0</v>
      </c>
      <c r="Q35" s="1606">
        <v>0</v>
      </c>
      <c r="R35" s="420">
        <f t="shared" si="2"/>
        <v>0</v>
      </c>
    </row>
    <row r="36" spans="1:21" ht="11.25" customHeight="1" x14ac:dyDescent="0.25">
      <c r="A36" s="326" t="s">
        <v>1635</v>
      </c>
      <c r="B36" s="293"/>
      <c r="C36" s="213">
        <f t="shared" ref="C36:R36" si="3">SUM(C25:C35)</f>
        <v>244171535.51999998</v>
      </c>
      <c r="D36" s="213">
        <f t="shared" si="3"/>
        <v>19408982</v>
      </c>
      <c r="E36" s="213">
        <f t="shared" si="3"/>
        <v>2382116</v>
      </c>
      <c r="F36" s="213">
        <f t="shared" si="3"/>
        <v>72906148</v>
      </c>
      <c r="G36" s="213">
        <f t="shared" si="3"/>
        <v>1895818</v>
      </c>
      <c r="H36" s="213">
        <f t="shared" si="3"/>
        <v>3899965</v>
      </c>
      <c r="I36" s="213">
        <f t="shared" si="3"/>
        <v>8177127</v>
      </c>
      <c r="J36" s="213">
        <f t="shared" si="3"/>
        <v>2161755</v>
      </c>
      <c r="K36" s="213">
        <f t="shared" si="3"/>
        <v>193830062</v>
      </c>
      <c r="L36" s="213">
        <f t="shared" si="3"/>
        <v>12396124.210000001</v>
      </c>
      <c r="M36" s="213">
        <f t="shared" si="3"/>
        <v>5803456</v>
      </c>
      <c r="N36" s="213">
        <f t="shared" si="3"/>
        <v>24250474.91</v>
      </c>
      <c r="O36" s="213">
        <f t="shared" si="3"/>
        <v>6244531</v>
      </c>
      <c r="P36" s="213">
        <f t="shared" si="3"/>
        <v>23385851</v>
      </c>
      <c r="Q36" s="213">
        <f t="shared" si="3"/>
        <v>9029633</v>
      </c>
      <c r="R36" s="421">
        <f t="shared" si="3"/>
        <v>629943578.63999999</v>
      </c>
    </row>
    <row r="37" spans="1:21" ht="5.0999999999999996" customHeight="1" x14ac:dyDescent="0.25">
      <c r="A37" s="201"/>
      <c r="B37" s="293"/>
      <c r="C37" s="218"/>
      <c r="D37" s="218"/>
      <c r="E37" s="218"/>
      <c r="F37" s="218"/>
      <c r="G37" s="218"/>
      <c r="H37" s="218"/>
      <c r="I37" s="218"/>
      <c r="J37" s="218"/>
      <c r="K37" s="218"/>
      <c r="L37" s="218"/>
      <c r="M37" s="218"/>
      <c r="N37" s="218"/>
      <c r="O37" s="218"/>
      <c r="P37" s="218"/>
      <c r="Q37" s="218"/>
      <c r="R37" s="420"/>
    </row>
    <row r="38" spans="1:21" ht="11.25" customHeight="1" x14ac:dyDescent="0.25">
      <c r="A38" s="326" t="str">
        <f>'A4-FinPerf RE'!A38</f>
        <v>Surplus/(Deficit)</v>
      </c>
      <c r="B38" s="293"/>
      <c r="C38" s="213">
        <f t="shared" ref="C38:H38" si="4">C22-C36</f>
        <v>-244171535.51999998</v>
      </c>
      <c r="D38" s="213">
        <f t="shared" si="4"/>
        <v>-19408982</v>
      </c>
      <c r="E38" s="213">
        <f t="shared" si="4"/>
        <v>-2382116</v>
      </c>
      <c r="F38" s="213">
        <f t="shared" si="4"/>
        <v>308839085.52999997</v>
      </c>
      <c r="G38" s="213">
        <f t="shared" si="4"/>
        <v>-1737775.02</v>
      </c>
      <c r="H38" s="213">
        <f t="shared" si="4"/>
        <v>-3899965</v>
      </c>
      <c r="I38" s="213">
        <f t="shared" ref="I38:Q38" si="5">I22-I36</f>
        <v>10664517.969999999</v>
      </c>
      <c r="J38" s="213">
        <f t="shared" si="5"/>
        <v>-2161755</v>
      </c>
      <c r="K38" s="213">
        <f t="shared" si="5"/>
        <v>-136740684.53</v>
      </c>
      <c r="L38" s="213">
        <f t="shared" si="5"/>
        <v>-12396124.210000001</v>
      </c>
      <c r="M38" s="213">
        <f t="shared" si="5"/>
        <v>-3759232.42</v>
      </c>
      <c r="N38" s="213">
        <f t="shared" si="5"/>
        <v>-24250474.91</v>
      </c>
      <c r="O38" s="213">
        <f t="shared" si="5"/>
        <v>14970666.859999999</v>
      </c>
      <c r="P38" s="213">
        <f t="shared" si="5"/>
        <v>-15749451</v>
      </c>
      <c r="Q38" s="213">
        <f t="shared" si="5"/>
        <v>-8922676.5999999996</v>
      </c>
      <c r="R38" s="421">
        <f>R22-R36</f>
        <v>-141106501.85000002</v>
      </c>
    </row>
    <row r="39" spans="1:21" ht="11.25" customHeight="1" x14ac:dyDescent="0.25">
      <c r="A39" s="190" t="str">
        <f>'A4-FinPerf RE'!A39</f>
        <v>Transfers recognised - capital</v>
      </c>
      <c r="B39" s="293"/>
      <c r="C39" s="1641"/>
      <c r="D39" s="1641"/>
      <c r="E39" s="1641"/>
      <c r="F39" s="1641"/>
      <c r="G39" s="1641">
        <f>A3A!I61</f>
        <v>119139000</v>
      </c>
      <c r="H39" s="1641"/>
      <c r="I39" s="1641"/>
      <c r="J39" s="1641">
        <f>A3A!I82</f>
        <v>1100000</v>
      </c>
      <c r="K39" s="1641"/>
      <c r="L39" s="1641"/>
      <c r="M39" s="1641"/>
      <c r="N39" s="1641"/>
      <c r="O39" s="1641"/>
      <c r="P39" s="1641"/>
      <c r="Q39" s="1641"/>
      <c r="R39" s="420">
        <f>SUM(C39:Q39)</f>
        <v>120239000</v>
      </c>
    </row>
    <row r="40" spans="1:21" x14ac:dyDescent="0.25">
      <c r="A40" s="422" t="str">
        <f>'A4-FinPerf RE'!A40</f>
        <v>Contributions recognised - capital</v>
      </c>
      <c r="B40" s="293"/>
      <c r="C40" s="1606"/>
      <c r="D40" s="1606"/>
      <c r="E40" s="1606"/>
      <c r="F40" s="1606"/>
      <c r="G40" s="1606"/>
      <c r="H40" s="1606"/>
      <c r="I40" s="1606"/>
      <c r="J40" s="1606"/>
      <c r="K40" s="1606"/>
      <c r="L40" s="1606"/>
      <c r="M40" s="1606"/>
      <c r="N40" s="1606"/>
      <c r="O40" s="1606"/>
      <c r="P40" s="1606"/>
      <c r="Q40" s="1606"/>
      <c r="R40" s="420">
        <f>SUM(C40:Q40)</f>
        <v>0</v>
      </c>
    </row>
    <row r="41" spans="1:21" ht="11.25" customHeight="1" x14ac:dyDescent="0.25">
      <c r="A41" s="190" t="str">
        <f>'A4-FinPerf RE'!A41</f>
        <v>Contributed assets</v>
      </c>
      <c r="B41" s="293"/>
      <c r="C41" s="1641"/>
      <c r="D41" s="1641"/>
      <c r="E41" s="1641"/>
      <c r="F41" s="1641"/>
      <c r="G41" s="1641"/>
      <c r="H41" s="1641"/>
      <c r="I41" s="1641"/>
      <c r="J41" s="1641"/>
      <c r="K41" s="1641"/>
      <c r="L41" s="1641"/>
      <c r="M41" s="1641"/>
      <c r="N41" s="1641"/>
      <c r="O41" s="1641"/>
      <c r="P41" s="1641"/>
      <c r="Q41" s="1641"/>
      <c r="R41" s="420">
        <f>SUM(C41:Q41)</f>
        <v>0</v>
      </c>
    </row>
    <row r="42" spans="1:21" ht="25.5" x14ac:dyDescent="0.25">
      <c r="A42" s="423" t="str">
        <f>'A4-FinPerf RE'!A42</f>
        <v>Surplus/(Deficit) after capital transfers &amp; contributions</v>
      </c>
      <c r="B42" s="306"/>
      <c r="C42" s="1277">
        <f t="shared" ref="C42:P42" si="6">SUM(C38:C41)</f>
        <v>-244171535.51999998</v>
      </c>
      <c r="D42" s="1277">
        <f t="shared" si="6"/>
        <v>-19408982</v>
      </c>
      <c r="E42" s="1277">
        <f t="shared" si="6"/>
        <v>-2382116</v>
      </c>
      <c r="F42" s="1277">
        <f t="shared" si="6"/>
        <v>308839085.52999997</v>
      </c>
      <c r="G42" s="1277">
        <f t="shared" si="6"/>
        <v>117401224.98</v>
      </c>
      <c r="H42" s="1277">
        <f t="shared" si="6"/>
        <v>-3899965</v>
      </c>
      <c r="I42" s="1277">
        <f t="shared" si="6"/>
        <v>10664517.969999999</v>
      </c>
      <c r="J42" s="1277">
        <f t="shared" si="6"/>
        <v>-1061755</v>
      </c>
      <c r="K42" s="1277">
        <f t="shared" si="6"/>
        <v>-136740684.53</v>
      </c>
      <c r="L42" s="1277">
        <f t="shared" si="6"/>
        <v>-12396124.210000001</v>
      </c>
      <c r="M42" s="1277">
        <f t="shared" si="6"/>
        <v>-3759232.42</v>
      </c>
      <c r="N42" s="1277">
        <f t="shared" si="6"/>
        <v>-24250474.91</v>
      </c>
      <c r="O42" s="1277">
        <f t="shared" si="6"/>
        <v>14970666.859999999</v>
      </c>
      <c r="P42" s="1277">
        <f t="shared" si="6"/>
        <v>-15749451</v>
      </c>
      <c r="Q42" s="1277">
        <f>SUM(Q38:Q41)</f>
        <v>-8922676.5999999996</v>
      </c>
      <c r="R42" s="1278">
        <f>SUM(R38:R41)</f>
        <v>-20867501.850000024</v>
      </c>
    </row>
    <row r="43" spans="1:21" s="708" customFormat="1" x14ac:dyDescent="0.25">
      <c r="A43" s="1228" t="str">
        <f>head27a</f>
        <v>References</v>
      </c>
      <c r="B43" s="1033"/>
      <c r="C43" s="1037"/>
      <c r="D43" s="1037"/>
      <c r="E43" s="1037"/>
      <c r="F43" s="1037"/>
      <c r="G43" s="1037"/>
      <c r="H43" s="1037"/>
      <c r="I43" s="1037"/>
      <c r="J43" s="1037"/>
      <c r="K43" s="1037"/>
      <c r="L43" s="1037"/>
      <c r="M43" s="1037"/>
      <c r="N43" s="1037"/>
      <c r="O43" s="1037"/>
      <c r="P43" s="1037"/>
      <c r="Q43" s="1037"/>
      <c r="R43" s="1037"/>
    </row>
    <row r="44" spans="1:21" s="708" customFormat="1" ht="11.25" customHeight="1" x14ac:dyDescent="0.25">
      <c r="A44" s="1193" t="s">
        <v>1681</v>
      </c>
      <c r="B44" s="1033"/>
      <c r="C44" s="1037"/>
      <c r="D44" s="1036"/>
      <c r="E44" s="1037"/>
      <c r="F44" s="1037"/>
      <c r="G44" s="1037"/>
      <c r="H44" s="1037"/>
      <c r="I44" s="1037"/>
      <c r="J44" s="1037"/>
      <c r="K44" s="1037"/>
      <c r="L44" s="1037"/>
      <c r="M44" s="1037"/>
      <c r="N44" s="1037"/>
      <c r="O44" s="1037"/>
      <c r="P44" s="1037"/>
      <c r="Q44" s="1037"/>
      <c r="R44" s="1037"/>
    </row>
    <row r="45" spans="1:21" ht="11.25" customHeight="1" x14ac:dyDescent="0.25">
      <c r="A45" s="288" t="s">
        <v>295</v>
      </c>
      <c r="B45" s="243"/>
      <c r="C45" s="245"/>
      <c r="D45" s="245"/>
      <c r="E45" s="245"/>
      <c r="F45" s="245"/>
      <c r="G45" s="245"/>
      <c r="H45" s="245"/>
      <c r="I45" s="245"/>
      <c r="J45" s="245"/>
      <c r="K45" s="245"/>
      <c r="L45" s="245"/>
      <c r="M45" s="245"/>
      <c r="N45" s="245"/>
      <c r="O45" s="245"/>
      <c r="P45" s="245"/>
      <c r="Q45" s="245"/>
      <c r="R45" s="984">
        <f>'A4-FinPerf RE'!J42-'SA2'!R42</f>
        <v>1.1920928955078125E-7</v>
      </c>
    </row>
    <row r="46" spans="1:21" ht="11.25" customHeight="1" x14ac:dyDescent="0.25">
      <c r="A46" s="244"/>
      <c r="B46" s="243"/>
      <c r="C46" s="245"/>
      <c r="D46" s="245"/>
      <c r="E46" s="245"/>
      <c r="F46" s="245"/>
      <c r="G46" s="245"/>
      <c r="H46" s="245"/>
      <c r="I46" s="245"/>
      <c r="J46" s="245"/>
      <c r="K46" s="245"/>
      <c r="L46" s="245"/>
      <c r="M46" s="245"/>
      <c r="N46" s="245"/>
      <c r="O46" s="245"/>
      <c r="P46" s="245"/>
      <c r="Q46" s="245"/>
      <c r="R46" s="245"/>
    </row>
    <row r="47" spans="1:21" ht="11.25" customHeight="1" x14ac:dyDescent="0.25">
      <c r="B47" s="149"/>
      <c r="U47" s="424"/>
    </row>
    <row r="48" spans="1:21" ht="11.25" customHeight="1" x14ac:dyDescent="0.25">
      <c r="B48" s="149"/>
      <c r="G48" s="309"/>
      <c r="H48" s="309"/>
      <c r="I48" s="309"/>
      <c r="J48" s="309"/>
      <c r="K48" s="309"/>
      <c r="L48" s="309"/>
      <c r="M48" s="309"/>
      <c r="N48" s="309"/>
      <c r="O48" s="309"/>
      <c r="P48" s="309"/>
      <c r="Q48" s="309"/>
      <c r="R48" s="309"/>
    </row>
    <row r="49" spans="2:21" ht="11.25" customHeight="1" x14ac:dyDescent="0.25">
      <c r="B49" s="149"/>
      <c r="G49" s="309"/>
      <c r="H49" s="309"/>
      <c r="I49" s="309"/>
      <c r="J49" s="309"/>
      <c r="K49" s="309"/>
      <c r="L49" s="309"/>
      <c r="M49" s="309"/>
      <c r="N49" s="309"/>
      <c r="O49" s="309"/>
      <c r="P49" s="309"/>
      <c r="Q49" s="309"/>
      <c r="R49" s="309"/>
    </row>
    <row r="50" spans="2:21" ht="11.25" customHeight="1" x14ac:dyDescent="0.25">
      <c r="B50" s="149"/>
      <c r="G50" s="309"/>
      <c r="H50" s="309"/>
      <c r="I50" s="309"/>
      <c r="J50" s="309"/>
      <c r="K50" s="309"/>
      <c r="L50" s="309"/>
      <c r="M50" s="309"/>
      <c r="N50" s="309"/>
      <c r="O50" s="309"/>
      <c r="P50" s="309"/>
      <c r="Q50" s="309"/>
      <c r="R50" s="309"/>
    </row>
    <row r="51" spans="2:21" ht="11.25" customHeight="1" x14ac:dyDescent="0.25">
      <c r="B51" s="149"/>
      <c r="U51" s="310"/>
    </row>
    <row r="52" spans="2:21" ht="11.25" customHeight="1" x14ac:dyDescent="0.25">
      <c r="B52" s="149"/>
      <c r="U52" s="310"/>
    </row>
    <row r="53" spans="2:21" ht="11.25" customHeight="1" x14ac:dyDescent="0.25">
      <c r="B53" s="149"/>
      <c r="U53" s="310"/>
    </row>
    <row r="54" spans="2:21" ht="11.25" customHeight="1" x14ac:dyDescent="0.25">
      <c r="B54" s="149"/>
    </row>
    <row r="55" spans="2:21" ht="11.25" customHeight="1" x14ac:dyDescent="0.25">
      <c r="B55" s="149"/>
    </row>
    <row r="56" spans="2:21" ht="11.25" customHeight="1" x14ac:dyDescent="0.25">
      <c r="B56" s="149"/>
    </row>
    <row r="57" spans="2:21" ht="11.25" customHeight="1" x14ac:dyDescent="0.25">
      <c r="B57" s="149"/>
    </row>
    <row r="58" spans="2:21" ht="11.25" customHeight="1" x14ac:dyDescent="0.25">
      <c r="B58" s="149"/>
    </row>
    <row r="59" spans="2:21" ht="11.25" customHeight="1" x14ac:dyDescent="0.25">
      <c r="B59" s="149"/>
    </row>
    <row r="60" spans="2:21" ht="11.25" customHeight="1" x14ac:dyDescent="0.25">
      <c r="B60" s="149"/>
    </row>
    <row r="61" spans="2:21" ht="11.25" customHeight="1" x14ac:dyDescent="0.25">
      <c r="B61" s="149"/>
    </row>
    <row r="62" spans="2:21" ht="11.25" customHeight="1" x14ac:dyDescent="0.25">
      <c r="B62" s="149"/>
    </row>
    <row r="63" spans="2:21" ht="11.25" customHeight="1" x14ac:dyDescent="0.25">
      <c r="B63" s="149"/>
    </row>
    <row r="64" spans="2:21"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sheetProtection sheet="1" objects="1" scenarios="1"/>
  <customSheetViews>
    <customSheetView guid="{F50C5479-5CC4-4FD7-8319-543D29E829F0}" showGridLines="0" fitToPage="1">
      <pane xSplit="2" ySplit="3" topLeftCell="C4" activePane="bottomRight" state="frozen"/>
      <selection pane="bottomRight" activeCell="F35" sqref="F35"/>
      <pageMargins left="0" right="0" top="0.78740157480314965" bottom="0.59055118110236227" header="0.51181102362204722" footer="0.43307086614173229"/>
      <printOptions horizontalCentered="1"/>
      <pageSetup paperSize="9" scale="56" orientation="portrait" r:id="rId1"/>
      <headerFooter alignWithMargins="0"/>
    </customSheetView>
  </customSheetViews>
  <mergeCells count="16">
    <mergeCell ref="G2:G3"/>
    <mergeCell ref="H2:H3"/>
    <mergeCell ref="C2:C3"/>
    <mergeCell ref="D2:D3"/>
    <mergeCell ref="E2:E3"/>
    <mergeCell ref="F2:F3"/>
    <mergeCell ref="Q2:Q3"/>
    <mergeCell ref="R2:R3"/>
    <mergeCell ref="I2:I3"/>
    <mergeCell ref="J2:J3"/>
    <mergeCell ref="K2:K3"/>
    <mergeCell ref="L2:L3"/>
    <mergeCell ref="M2:M3"/>
    <mergeCell ref="N2:N3"/>
    <mergeCell ref="O2:O3"/>
    <mergeCell ref="P2:P3"/>
  </mergeCells>
  <phoneticPr fontId="2" type="noConversion"/>
  <printOptions horizontalCentered="1"/>
  <pageMargins left="0" right="0" top="0.78740157480314965" bottom="0.59055118110236227" header="0.51181102362204722" footer="0.43307086614173229"/>
  <pageSetup paperSize="9" scale="56"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42"/>
    <pageSetUpPr fitToPage="1"/>
  </sheetPr>
  <dimension ref="A1:L92"/>
  <sheetViews>
    <sheetView showGridLines="0" zoomScaleNormal="100" workbookViewId="0">
      <pane xSplit="2" ySplit="4" topLeftCell="C72" activePane="bottomRight" state="frozen"/>
      <selection activeCell="F35" sqref="F35"/>
      <selection pane="topRight" activeCell="F35" sqref="F35"/>
      <selection pane="bottomLeft" activeCell="F35" sqref="F35"/>
      <selection pane="bottomRight" activeCell="K93" sqref="K93"/>
    </sheetView>
  </sheetViews>
  <sheetFormatPr defaultRowHeight="12.75" x14ac:dyDescent="0.25"/>
  <cols>
    <col min="1" max="1" width="30.7109375" style="149" customWidth="1"/>
    <col min="2" max="2" width="3" style="247" customWidth="1"/>
    <col min="3" max="8" width="9.28515625" style="149" customWidth="1"/>
    <col min="9" max="9" width="9.140625" style="149" customWidth="1"/>
    <col min="10"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s="179" customFormat="1" x14ac:dyDescent="0.2">
      <c r="A1" s="147" t="str">
        <f>muni&amp;" - "&amp;TableA3</f>
        <v>MP315 Thembisile Hani - Supporting Table SA3 Supportinging detail to 'Budgeted Financial Position'</v>
      </c>
      <c r="B1" s="147"/>
      <c r="C1" s="147"/>
      <c r="D1" s="147"/>
      <c r="E1" s="147"/>
      <c r="F1" s="147"/>
      <c r="G1" s="147"/>
      <c r="H1" s="147"/>
      <c r="I1" s="147"/>
      <c r="J1" s="147"/>
      <c r="K1" s="147"/>
      <c r="L1" s="147"/>
    </row>
    <row r="2" spans="1:12" ht="28.5" customHeight="1" x14ac:dyDescent="0.25">
      <c r="A2" s="2791" t="str">
        <f>desc</f>
        <v>Description</v>
      </c>
      <c r="B2" s="2793" t="str">
        <f>head27</f>
        <v>Ref</v>
      </c>
      <c r="C2" s="150"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2" ht="33.75" customHeight="1" x14ac:dyDescent="0.25">
      <c r="A3" s="2792"/>
      <c r="B3" s="2794"/>
      <c r="C3" s="152"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2015/16</v>
      </c>
      <c r="K3" s="152" t="str">
        <f>Head10</f>
        <v>Budget Year +1 2016/17</v>
      </c>
      <c r="L3" s="153" t="str">
        <f>Head11</f>
        <v>Budget Year +2 2017/18</v>
      </c>
    </row>
    <row r="4" spans="1:12" ht="11.25" customHeight="1" x14ac:dyDescent="0.25">
      <c r="A4" s="180" t="s">
        <v>662</v>
      </c>
      <c r="B4" s="290"/>
      <c r="C4" s="138"/>
      <c r="D4" s="138"/>
      <c r="E4" s="156"/>
      <c r="F4" s="155"/>
      <c r="G4" s="138"/>
      <c r="H4" s="156"/>
      <c r="I4" s="157"/>
      <c r="J4" s="155"/>
      <c r="K4" s="138"/>
      <c r="L4" s="156"/>
    </row>
    <row r="5" spans="1:12" ht="11.25" customHeight="1" x14ac:dyDescent="0.25">
      <c r="A5" s="326" t="s">
        <v>1012</v>
      </c>
      <c r="B5" s="291"/>
      <c r="C5" s="425"/>
      <c r="D5" s="425"/>
      <c r="E5" s="204"/>
      <c r="F5" s="205"/>
      <c r="G5" s="425"/>
      <c r="H5" s="204"/>
      <c r="I5" s="202"/>
      <c r="J5" s="426"/>
      <c r="K5" s="425"/>
      <c r="L5" s="204"/>
    </row>
    <row r="6" spans="1:12" ht="11.25" customHeight="1" x14ac:dyDescent="0.25">
      <c r="A6" s="181" t="str">
        <f>'A6-FinPos'!A7</f>
        <v>Call investment deposits</v>
      </c>
      <c r="B6" s="293"/>
      <c r="C6" s="203"/>
      <c r="D6" s="203"/>
      <c r="E6" s="204"/>
      <c r="F6" s="205"/>
      <c r="G6" s="203"/>
      <c r="H6" s="204"/>
      <c r="I6" s="202"/>
      <c r="J6" s="206"/>
      <c r="K6" s="203"/>
      <c r="L6" s="204"/>
    </row>
    <row r="7" spans="1:12" ht="11.25" customHeight="1" x14ac:dyDescent="0.25">
      <c r="A7" s="190" t="s">
        <v>815</v>
      </c>
      <c r="B7" s="293"/>
      <c r="C7" s="1606"/>
      <c r="D7" s="1606"/>
      <c r="E7" s="1628"/>
      <c r="F7" s="1629"/>
      <c r="G7" s="1606"/>
      <c r="H7" s="1628"/>
      <c r="I7" s="1630"/>
      <c r="J7" s="1608">
        <v>2468986.65</v>
      </c>
      <c r="K7" s="1606">
        <f>J7*1.059</f>
        <v>2614656.8623499996</v>
      </c>
      <c r="L7" s="1628">
        <f>K7*1.056</f>
        <v>2761077.6466415995</v>
      </c>
    </row>
    <row r="8" spans="1:12" ht="11.25" customHeight="1" x14ac:dyDescent="0.25">
      <c r="A8" s="190" t="s">
        <v>1552</v>
      </c>
      <c r="B8" s="293"/>
      <c r="C8" s="1606"/>
      <c r="D8" s="1606"/>
      <c r="E8" s="1628"/>
      <c r="F8" s="1629"/>
      <c r="G8" s="1606"/>
      <c r="H8" s="1628"/>
      <c r="I8" s="1630"/>
      <c r="J8" s="1608">
        <v>0</v>
      </c>
      <c r="K8" s="1606">
        <v>0</v>
      </c>
      <c r="L8" s="1628">
        <v>0</v>
      </c>
    </row>
    <row r="9" spans="1:12" ht="11.25" customHeight="1" x14ac:dyDescent="0.25">
      <c r="A9" s="326" t="str">
        <f>"Total "&amp;A6</f>
        <v>Total Call investment deposits</v>
      </c>
      <c r="B9" s="293">
        <v>2</v>
      </c>
      <c r="C9" s="213">
        <f>SUM(C7:C8)</f>
        <v>0</v>
      </c>
      <c r="D9" s="213">
        <f t="shared" ref="D9:L9" si="0">SUM(D7:D8)</f>
        <v>0</v>
      </c>
      <c r="E9" s="214">
        <f t="shared" si="0"/>
        <v>0</v>
      </c>
      <c r="F9" s="215">
        <f t="shared" si="0"/>
        <v>0</v>
      </c>
      <c r="G9" s="213">
        <f t="shared" si="0"/>
        <v>0</v>
      </c>
      <c r="H9" s="214">
        <f t="shared" si="0"/>
        <v>0</v>
      </c>
      <c r="I9" s="212">
        <f t="shared" si="0"/>
        <v>0</v>
      </c>
      <c r="J9" s="216">
        <f t="shared" si="0"/>
        <v>2468986.65</v>
      </c>
      <c r="K9" s="213">
        <f t="shared" si="0"/>
        <v>2614656.8623499996</v>
      </c>
      <c r="L9" s="214">
        <f t="shared" si="0"/>
        <v>2761077.6466415995</v>
      </c>
    </row>
    <row r="10" spans="1:12" ht="5.0999999999999996" customHeight="1" x14ac:dyDescent="0.25">
      <c r="A10" s="201"/>
      <c r="B10" s="293"/>
      <c r="C10" s="203"/>
      <c r="D10" s="203"/>
      <c r="E10" s="204"/>
      <c r="F10" s="205"/>
      <c r="G10" s="203"/>
      <c r="H10" s="204"/>
      <c r="I10" s="202"/>
      <c r="J10" s="206"/>
      <c r="K10" s="203"/>
      <c r="L10" s="204"/>
    </row>
    <row r="11" spans="1:12" ht="11.25" customHeight="1" x14ac:dyDescent="0.25">
      <c r="A11" s="181" t="str">
        <f>'A6-FinPos'!A8</f>
        <v>Consumer debtors</v>
      </c>
      <c r="B11" s="293"/>
      <c r="C11" s="203"/>
      <c r="D11" s="203"/>
      <c r="E11" s="204"/>
      <c r="F11" s="205"/>
      <c r="G11" s="203"/>
      <c r="H11" s="204"/>
      <c r="I11" s="202"/>
      <c r="J11" s="206"/>
      <c r="K11" s="203"/>
      <c r="L11" s="204"/>
    </row>
    <row r="12" spans="1:12" ht="11.25" customHeight="1" x14ac:dyDescent="0.25">
      <c r="A12" s="190" t="str">
        <f>A11</f>
        <v>Consumer debtors</v>
      </c>
      <c r="B12" s="293"/>
      <c r="C12" s="1606">
        <v>60186000</v>
      </c>
      <c r="D12" s="1606"/>
      <c r="E12" s="1628">
        <v>4348474</v>
      </c>
      <c r="F12" s="1629">
        <v>266296428</v>
      </c>
      <c r="G12" s="1606">
        <v>266296428</v>
      </c>
      <c r="H12" s="1606">
        <v>266296428</v>
      </c>
      <c r="I12" s="1630">
        <v>431340669</v>
      </c>
      <c r="J12" s="1608">
        <v>422790000</v>
      </c>
      <c r="K12" s="1606">
        <f>J12*1.059</f>
        <v>447734610</v>
      </c>
      <c r="L12" s="1628">
        <f>K12*1.056</f>
        <v>472807748.16000003</v>
      </c>
    </row>
    <row r="13" spans="1:12" ht="11.25" customHeight="1" x14ac:dyDescent="0.25">
      <c r="A13" s="414" t="s">
        <v>373</v>
      </c>
      <c r="B13" s="293"/>
      <c r="C13" s="1606"/>
      <c r="D13" s="1606"/>
      <c r="E13" s="1628"/>
      <c r="F13" s="1629">
        <v>-230720000</v>
      </c>
      <c r="G13" s="1606">
        <v>-230720000</v>
      </c>
      <c r="H13" s="1606">
        <v>-230720000</v>
      </c>
      <c r="I13" s="1630"/>
      <c r="J13" s="1608">
        <v>-285053985.56</v>
      </c>
      <c r="K13" s="1606">
        <f>J13*1.059</f>
        <v>-301872170.70804</v>
      </c>
      <c r="L13" s="1628">
        <f>K13*1.056</f>
        <v>-318777012.26769024</v>
      </c>
    </row>
    <row r="14" spans="1:12" ht="11.25" customHeight="1" x14ac:dyDescent="0.25">
      <c r="A14" s="326" t="str">
        <f>"Total "&amp;A11</f>
        <v>Total Consumer debtors</v>
      </c>
      <c r="B14" s="293">
        <v>2</v>
      </c>
      <c r="C14" s="213">
        <f>SUM(C12:C13)</f>
        <v>60186000</v>
      </c>
      <c r="D14" s="213">
        <f t="shared" ref="D14:L14" si="1">SUM(D12:D13)</f>
        <v>0</v>
      </c>
      <c r="E14" s="214">
        <f t="shared" si="1"/>
        <v>4348474</v>
      </c>
      <c r="F14" s="215">
        <f>SUM(F12:F13)</f>
        <v>35576428</v>
      </c>
      <c r="G14" s="213">
        <f t="shared" si="1"/>
        <v>35576428</v>
      </c>
      <c r="H14" s="214">
        <f t="shared" si="1"/>
        <v>35576428</v>
      </c>
      <c r="I14" s="212">
        <f t="shared" si="1"/>
        <v>431340669</v>
      </c>
      <c r="J14" s="216">
        <f t="shared" si="1"/>
        <v>137736014.44</v>
      </c>
      <c r="K14" s="213">
        <f t="shared" si="1"/>
        <v>145862439.29196</v>
      </c>
      <c r="L14" s="214">
        <f t="shared" si="1"/>
        <v>154030735.89230978</v>
      </c>
    </row>
    <row r="15" spans="1:12" ht="5.0999999999999996" customHeight="1" x14ac:dyDescent="0.25">
      <c r="A15" s="201"/>
      <c r="B15" s="293"/>
      <c r="C15" s="203"/>
      <c r="D15" s="203"/>
      <c r="E15" s="204"/>
      <c r="F15" s="205"/>
      <c r="G15" s="203"/>
      <c r="H15" s="204"/>
      <c r="I15" s="202"/>
      <c r="J15" s="206"/>
      <c r="K15" s="203"/>
      <c r="L15" s="204"/>
    </row>
    <row r="16" spans="1:12" ht="11.25" customHeight="1" x14ac:dyDescent="0.25">
      <c r="A16" s="1182" t="s">
        <v>3</v>
      </c>
      <c r="B16" s="293"/>
      <c r="C16" s="203"/>
      <c r="D16" s="203"/>
      <c r="E16" s="204"/>
      <c r="F16" s="205"/>
      <c r="G16" s="203"/>
      <c r="H16" s="204"/>
      <c r="I16" s="202"/>
      <c r="J16" s="206"/>
      <c r="K16" s="203"/>
      <c r="L16" s="204"/>
    </row>
    <row r="17" spans="1:12" ht="11.25" customHeight="1" x14ac:dyDescent="0.25">
      <c r="A17" s="417" t="s">
        <v>4</v>
      </c>
      <c r="B17" s="293"/>
      <c r="C17" s="1606"/>
      <c r="D17" s="1606"/>
      <c r="E17" s="1628"/>
      <c r="F17" s="1629">
        <v>171520000</v>
      </c>
      <c r="G17" s="1606">
        <v>171520000</v>
      </c>
      <c r="H17" s="1606">
        <v>171520000</v>
      </c>
      <c r="I17" s="1630"/>
      <c r="J17" s="1608"/>
      <c r="K17" s="1606"/>
      <c r="L17" s="1628"/>
    </row>
    <row r="18" spans="1:12" ht="11.25" customHeight="1" x14ac:dyDescent="0.25">
      <c r="A18" s="417" t="s">
        <v>5</v>
      </c>
      <c r="B18" s="293"/>
      <c r="C18" s="1606"/>
      <c r="D18" s="1606"/>
      <c r="E18" s="1628"/>
      <c r="F18" s="1629">
        <v>59200000</v>
      </c>
      <c r="G18" s="1606">
        <v>59200000</v>
      </c>
      <c r="H18" s="1606">
        <v>59200000</v>
      </c>
      <c r="I18" s="1630"/>
      <c r="J18" s="1608"/>
      <c r="K18" s="1606"/>
      <c r="L18" s="1628"/>
    </row>
    <row r="19" spans="1:12" ht="11.25" customHeight="1" x14ac:dyDescent="0.25">
      <c r="A19" s="417" t="s">
        <v>6</v>
      </c>
      <c r="B19" s="293"/>
      <c r="C19" s="1606"/>
      <c r="D19" s="1606"/>
      <c r="E19" s="1628"/>
      <c r="F19" s="1629"/>
      <c r="G19" s="1606"/>
      <c r="H19" s="1628"/>
      <c r="I19" s="1630"/>
      <c r="J19" s="1608"/>
      <c r="K19" s="1606"/>
      <c r="L19" s="1628"/>
    </row>
    <row r="20" spans="1:12" ht="11.25" customHeight="1" x14ac:dyDescent="0.25">
      <c r="A20" s="1181" t="s">
        <v>7</v>
      </c>
      <c r="B20" s="293"/>
      <c r="C20" s="213">
        <f>SUM(C17:C19)</f>
        <v>0</v>
      </c>
      <c r="D20" s="213">
        <f t="shared" ref="D20:L20" si="2">SUM(D17:D19)</f>
        <v>0</v>
      </c>
      <c r="E20" s="214">
        <f t="shared" si="2"/>
        <v>0</v>
      </c>
      <c r="F20" s="215">
        <f t="shared" si="2"/>
        <v>230720000</v>
      </c>
      <c r="G20" s="213">
        <f t="shared" si="2"/>
        <v>230720000</v>
      </c>
      <c r="H20" s="214">
        <f t="shared" si="2"/>
        <v>230720000</v>
      </c>
      <c r="I20" s="212">
        <f t="shared" si="2"/>
        <v>0</v>
      </c>
      <c r="J20" s="216">
        <f t="shared" si="2"/>
        <v>0</v>
      </c>
      <c r="K20" s="213">
        <f t="shared" si="2"/>
        <v>0</v>
      </c>
      <c r="L20" s="214">
        <f t="shared" si="2"/>
        <v>0</v>
      </c>
    </row>
    <row r="21" spans="1:12" ht="5.0999999999999996" customHeight="1" x14ac:dyDescent="0.25">
      <c r="A21" s="201"/>
      <c r="B21" s="293"/>
      <c r="C21" s="203"/>
      <c r="D21" s="203"/>
      <c r="E21" s="204"/>
      <c r="F21" s="205"/>
      <c r="G21" s="203"/>
      <c r="H21" s="204"/>
      <c r="I21" s="202"/>
      <c r="J21" s="206"/>
      <c r="K21" s="203"/>
      <c r="L21" s="204"/>
    </row>
    <row r="22" spans="1:12" ht="11.25" customHeight="1" x14ac:dyDescent="0.25">
      <c r="A22" s="181" t="str">
        <f>'A6-FinPos'!A19&amp;" (PPE)"</f>
        <v>Property, plant and equipment (PPE)</v>
      </c>
      <c r="B22" s="293"/>
      <c r="C22" s="203"/>
      <c r="D22" s="203"/>
      <c r="E22" s="204"/>
      <c r="F22" s="205"/>
      <c r="G22" s="203"/>
      <c r="H22" s="204"/>
      <c r="I22" s="202"/>
      <c r="J22" s="206"/>
      <c r="K22" s="203"/>
      <c r="L22" s="204"/>
    </row>
    <row r="23" spans="1:12" ht="11.25" customHeight="1" x14ac:dyDescent="0.25">
      <c r="A23" s="325" t="s">
        <v>1654</v>
      </c>
      <c r="B23" s="293"/>
      <c r="C23" s="1606">
        <v>2584995000</v>
      </c>
      <c r="D23" s="1606">
        <v>1643730954</v>
      </c>
      <c r="E23" s="1628">
        <v>1734312693</v>
      </c>
      <c r="F23" s="1629">
        <v>2200080932</v>
      </c>
      <c r="G23" s="1606">
        <v>2200601683.2800002</v>
      </c>
      <c r="H23" s="1606">
        <v>2200601683.2800002</v>
      </c>
      <c r="I23" s="1630">
        <v>1622970885</v>
      </c>
      <c r="J23" s="1608">
        <v>1831476636.3300002</v>
      </c>
      <c r="K23" s="1606">
        <f>J23*1.059</f>
        <v>1939533757.8734701</v>
      </c>
      <c r="L23" s="1628">
        <f>K23*1.056</f>
        <v>2048147648.3143845</v>
      </c>
    </row>
    <row r="24" spans="1:12" ht="11.25" customHeight="1" x14ac:dyDescent="0.25">
      <c r="A24" s="325" t="s">
        <v>1049</v>
      </c>
      <c r="B24" s="293">
        <v>3</v>
      </c>
      <c r="C24" s="1606"/>
      <c r="D24" s="1606"/>
      <c r="E24" s="1628"/>
      <c r="F24" s="1629"/>
      <c r="G24" s="1606">
        <v>0</v>
      </c>
      <c r="H24" s="1606">
        <v>0</v>
      </c>
      <c r="I24" s="1630"/>
      <c r="J24" s="1608"/>
      <c r="K24" s="1606"/>
      <c r="L24" s="1628"/>
    </row>
    <row r="25" spans="1:12" ht="11.25" customHeight="1" x14ac:dyDescent="0.25">
      <c r="A25" s="1531" t="s">
        <v>816</v>
      </c>
      <c r="B25" s="293"/>
      <c r="C25" s="1606"/>
      <c r="D25" s="1606"/>
      <c r="E25" s="1628">
        <v>130728343</v>
      </c>
      <c r="F25" s="1629">
        <v>181082378</v>
      </c>
      <c r="G25" s="1606">
        <v>181082378</v>
      </c>
      <c r="H25" s="1606">
        <v>181082378</v>
      </c>
      <c r="I25" s="1630"/>
      <c r="J25" s="1608">
        <v>138310586.89399999</v>
      </c>
      <c r="K25" s="1606">
        <f>J25*1.059</f>
        <v>146470911.52074599</v>
      </c>
      <c r="L25" s="1628">
        <f>K25*1.056</f>
        <v>154673282.56590778</v>
      </c>
    </row>
    <row r="26" spans="1:12" ht="11.25" customHeight="1" x14ac:dyDescent="0.25">
      <c r="A26" s="326" t="str">
        <f>"Total "&amp;A22</f>
        <v>Total Property, plant and equipment (PPE)</v>
      </c>
      <c r="B26" s="293">
        <v>2</v>
      </c>
      <c r="C26" s="213">
        <f>SUM(C23:C24)-C25</f>
        <v>2584995000</v>
      </c>
      <c r="D26" s="213">
        <f t="shared" ref="D26:L26" si="3">SUM(D23:D24)-D25</f>
        <v>1643730954</v>
      </c>
      <c r="E26" s="214">
        <f t="shared" si="3"/>
        <v>1603584350</v>
      </c>
      <c r="F26" s="215">
        <f t="shared" si="3"/>
        <v>2018998554</v>
      </c>
      <c r="G26" s="213">
        <f t="shared" si="3"/>
        <v>2019519305.2800002</v>
      </c>
      <c r="H26" s="214">
        <f t="shared" si="3"/>
        <v>2019519305.2800002</v>
      </c>
      <c r="I26" s="212">
        <f t="shared" si="3"/>
        <v>1622970885</v>
      </c>
      <c r="J26" s="216">
        <f t="shared" si="3"/>
        <v>1693166049.4360001</v>
      </c>
      <c r="K26" s="213">
        <f t="shared" si="3"/>
        <v>1793062846.3527241</v>
      </c>
      <c r="L26" s="214">
        <f t="shared" si="3"/>
        <v>1893474365.7484767</v>
      </c>
    </row>
    <row r="27" spans="1:12" ht="5.0999999999999996" customHeight="1" x14ac:dyDescent="0.25">
      <c r="A27" s="201"/>
      <c r="B27" s="293"/>
      <c r="C27" s="203"/>
      <c r="D27" s="203"/>
      <c r="E27" s="204"/>
      <c r="F27" s="205"/>
      <c r="G27" s="203"/>
      <c r="H27" s="204"/>
      <c r="I27" s="202"/>
      <c r="J27" s="206"/>
      <c r="K27" s="203"/>
      <c r="L27" s="204"/>
    </row>
    <row r="28" spans="1:12" ht="15.75" customHeight="1" x14ac:dyDescent="0.25">
      <c r="A28" s="406" t="s">
        <v>568</v>
      </c>
      <c r="B28" s="407"/>
      <c r="C28" s="408"/>
      <c r="D28" s="408"/>
      <c r="E28" s="409"/>
      <c r="F28" s="410"/>
      <c r="G28" s="408"/>
      <c r="H28" s="409"/>
      <c r="I28" s="411"/>
      <c r="J28" s="412"/>
      <c r="K28" s="408"/>
      <c r="L28" s="409"/>
    </row>
    <row r="29" spans="1:12" ht="11.25" customHeight="1" x14ac:dyDescent="0.25">
      <c r="A29" s="181" t="str">
        <f>'A6-FinPos'!A28&amp;" - "&amp;'A6-FinPos'!A30</f>
        <v>Current liabilities - Borrowing</v>
      </c>
      <c r="B29" s="293"/>
      <c r="C29" s="203"/>
      <c r="D29" s="203"/>
      <c r="E29" s="204"/>
      <c r="F29" s="205"/>
      <c r="G29" s="203"/>
      <c r="H29" s="204"/>
      <c r="I29" s="202"/>
      <c r="J29" s="206"/>
      <c r="K29" s="203"/>
      <c r="L29" s="204"/>
    </row>
    <row r="30" spans="1:12" ht="11.25" customHeight="1" x14ac:dyDescent="0.25">
      <c r="A30" s="190" t="s">
        <v>700</v>
      </c>
      <c r="B30" s="293"/>
      <c r="C30" s="1606"/>
      <c r="D30" s="1606"/>
      <c r="E30" s="1628"/>
      <c r="F30" s="1629"/>
      <c r="G30" s="1606"/>
      <c r="H30" s="1628"/>
      <c r="I30" s="1630"/>
      <c r="J30" s="1608"/>
      <c r="K30" s="1606"/>
      <c r="L30" s="1628"/>
    </row>
    <row r="31" spans="1:12" ht="11.25" customHeight="1" x14ac:dyDescent="0.25">
      <c r="A31" s="190" t="s">
        <v>1501</v>
      </c>
      <c r="B31" s="293"/>
      <c r="C31" s="1606"/>
      <c r="D31" s="1606"/>
      <c r="E31" s="1628"/>
      <c r="F31" s="1629"/>
      <c r="G31" s="1606"/>
      <c r="H31" s="1628"/>
      <c r="I31" s="1630"/>
      <c r="J31" s="1608"/>
      <c r="K31" s="1606"/>
      <c r="L31" s="1628"/>
    </row>
    <row r="32" spans="1:12" ht="11.25" customHeight="1" x14ac:dyDescent="0.25">
      <c r="A32" s="326" t="str">
        <f>"Total "&amp;A29</f>
        <v>Total Current liabilities - Borrowing</v>
      </c>
      <c r="B32" s="293"/>
      <c r="C32" s="213">
        <f>SUM(C30:C31)</f>
        <v>0</v>
      </c>
      <c r="D32" s="213">
        <f t="shared" ref="D32:L32" si="4">SUM(D30:D31)</f>
        <v>0</v>
      </c>
      <c r="E32" s="214">
        <f t="shared" si="4"/>
        <v>0</v>
      </c>
      <c r="F32" s="215">
        <f t="shared" si="4"/>
        <v>0</v>
      </c>
      <c r="G32" s="213">
        <f t="shared" si="4"/>
        <v>0</v>
      </c>
      <c r="H32" s="214">
        <f t="shared" si="4"/>
        <v>0</v>
      </c>
      <c r="I32" s="212">
        <f t="shared" si="4"/>
        <v>0</v>
      </c>
      <c r="J32" s="216">
        <f t="shared" si="4"/>
        <v>0</v>
      </c>
      <c r="K32" s="213">
        <f t="shared" si="4"/>
        <v>0</v>
      </c>
      <c r="L32" s="214">
        <f t="shared" si="4"/>
        <v>0</v>
      </c>
    </row>
    <row r="33" spans="1:12" ht="5.0999999999999996" customHeight="1" x14ac:dyDescent="0.25">
      <c r="A33" s="201"/>
      <c r="B33" s="293"/>
      <c r="C33" s="203"/>
      <c r="D33" s="203"/>
      <c r="E33" s="204"/>
      <c r="F33" s="205"/>
      <c r="G33" s="203"/>
      <c r="H33" s="204"/>
      <c r="I33" s="202"/>
      <c r="J33" s="206"/>
      <c r="K33" s="203"/>
      <c r="L33" s="204"/>
    </row>
    <row r="34" spans="1:12" ht="11.25" customHeight="1" x14ac:dyDescent="0.25">
      <c r="A34" s="181" t="str">
        <f>'A6-FinPos'!A32</f>
        <v>Trade and other payables</v>
      </c>
      <c r="B34" s="293"/>
      <c r="C34" s="315"/>
      <c r="D34" s="315"/>
      <c r="E34" s="318"/>
      <c r="F34" s="317"/>
      <c r="G34" s="315"/>
      <c r="H34" s="318"/>
      <c r="I34" s="316"/>
      <c r="J34" s="405"/>
      <c r="K34" s="315"/>
      <c r="L34" s="318"/>
    </row>
    <row r="35" spans="1:12" ht="11.25" customHeight="1" x14ac:dyDescent="0.25">
      <c r="A35" s="325" t="s">
        <v>952</v>
      </c>
      <c r="B35" s="293"/>
      <c r="C35" s="1606">
        <v>90358000</v>
      </c>
      <c r="D35" s="1606">
        <v>68511953</v>
      </c>
      <c r="E35" s="1628">
        <v>148071320</v>
      </c>
      <c r="F35" s="1629">
        <v>36000000</v>
      </c>
      <c r="G35" s="1606">
        <v>36000000</v>
      </c>
      <c r="H35" s="1606">
        <v>36000000</v>
      </c>
      <c r="I35" s="1630">
        <v>107551914</v>
      </c>
      <c r="J35" s="1608">
        <v>56000000</v>
      </c>
      <c r="K35" s="1606">
        <f>J35*1.059</f>
        <v>59304000</v>
      </c>
      <c r="L35" s="1628">
        <f>K35*1.056</f>
        <v>62625024</v>
      </c>
    </row>
    <row r="36" spans="1:12" ht="11.25" customHeight="1" x14ac:dyDescent="0.25">
      <c r="A36" s="325" t="s">
        <v>1062</v>
      </c>
      <c r="B36" s="293"/>
      <c r="C36" s="1606"/>
      <c r="D36" s="1606"/>
      <c r="E36" s="1628"/>
      <c r="F36" s="1629"/>
      <c r="G36" s="1606"/>
      <c r="H36" s="1628"/>
      <c r="I36" s="1630"/>
      <c r="J36" s="1608">
        <v>0</v>
      </c>
      <c r="K36" s="1606">
        <f>J36*1.055</f>
        <v>0</v>
      </c>
      <c r="L36" s="1628">
        <f>K36*1.053</f>
        <v>0</v>
      </c>
    </row>
    <row r="37" spans="1:12" ht="11.25" customHeight="1" x14ac:dyDescent="0.25">
      <c r="A37" s="325" t="s">
        <v>1500</v>
      </c>
      <c r="B37" s="293"/>
      <c r="C37" s="1606"/>
      <c r="D37" s="1606"/>
      <c r="E37" s="1628"/>
      <c r="F37" s="1629"/>
      <c r="G37" s="1606"/>
      <c r="H37" s="1628"/>
      <c r="I37" s="1630"/>
      <c r="J37" s="1608"/>
      <c r="K37" s="1606"/>
      <c r="L37" s="1628"/>
    </row>
    <row r="38" spans="1:12" ht="11.25" customHeight="1" x14ac:dyDescent="0.25">
      <c r="A38" s="326" t="str">
        <f>"Total "&amp;A34</f>
        <v>Total Trade and other payables</v>
      </c>
      <c r="B38" s="293">
        <v>2</v>
      </c>
      <c r="C38" s="213">
        <f t="shared" ref="C38:K38" si="5">SUM(C35:C37)</f>
        <v>90358000</v>
      </c>
      <c r="D38" s="213">
        <f t="shared" si="5"/>
        <v>68511953</v>
      </c>
      <c r="E38" s="214">
        <f t="shared" si="5"/>
        <v>148071320</v>
      </c>
      <c r="F38" s="215">
        <f t="shared" si="5"/>
        <v>36000000</v>
      </c>
      <c r="G38" s="213">
        <f t="shared" si="5"/>
        <v>36000000</v>
      </c>
      <c r="H38" s="214">
        <f t="shared" si="5"/>
        <v>36000000</v>
      </c>
      <c r="I38" s="212">
        <f t="shared" si="5"/>
        <v>107551914</v>
      </c>
      <c r="J38" s="216">
        <f t="shared" si="5"/>
        <v>56000000</v>
      </c>
      <c r="K38" s="213">
        <f t="shared" si="5"/>
        <v>59304000</v>
      </c>
      <c r="L38" s="214">
        <f>SUM(L35:L37)</f>
        <v>62625024</v>
      </c>
    </row>
    <row r="39" spans="1:12" ht="5.0999999999999996" customHeight="1" x14ac:dyDescent="0.25">
      <c r="A39" s="201"/>
      <c r="B39" s="293"/>
      <c r="C39" s="203"/>
      <c r="D39" s="203"/>
      <c r="E39" s="204"/>
      <c r="F39" s="205"/>
      <c r="G39" s="203"/>
      <c r="H39" s="204"/>
      <c r="I39" s="202"/>
      <c r="J39" s="206"/>
      <c r="K39" s="203"/>
      <c r="L39" s="204"/>
    </row>
    <row r="40" spans="1:12" ht="11.25" customHeight="1" x14ac:dyDescent="0.25">
      <c r="A40" s="181" t="str">
        <f>'A6-FinPos'!A36&amp;" - "&amp;'A6-FinPos'!A37</f>
        <v>Non current liabilities - Borrowing</v>
      </c>
      <c r="B40" s="293"/>
      <c r="C40" s="203"/>
      <c r="D40" s="203"/>
      <c r="E40" s="204"/>
      <c r="F40" s="205"/>
      <c r="G40" s="203"/>
      <c r="H40" s="204"/>
      <c r="I40" s="202"/>
      <c r="J40" s="206"/>
      <c r="K40" s="203"/>
      <c r="L40" s="204"/>
    </row>
    <row r="41" spans="1:12" ht="11.25" customHeight="1" x14ac:dyDescent="0.25">
      <c r="A41" s="190" t="s">
        <v>1272</v>
      </c>
      <c r="B41" s="293">
        <v>4</v>
      </c>
      <c r="C41" s="1606"/>
      <c r="D41" s="1606"/>
      <c r="E41" s="1628"/>
      <c r="F41" s="1629"/>
      <c r="G41" s="1606"/>
      <c r="H41" s="1628"/>
      <c r="I41" s="1630"/>
      <c r="J41" s="1608"/>
      <c r="K41" s="1606"/>
      <c r="L41" s="1628"/>
    </row>
    <row r="42" spans="1:12" ht="11.25" customHeight="1" x14ac:dyDescent="0.25">
      <c r="A42" s="190" t="s">
        <v>1039</v>
      </c>
      <c r="B42" s="293"/>
      <c r="C42" s="1606"/>
      <c r="D42" s="1606"/>
      <c r="E42" s="1628"/>
      <c r="F42" s="1629"/>
      <c r="G42" s="1606"/>
      <c r="H42" s="1628"/>
      <c r="I42" s="1630"/>
      <c r="J42" s="1608"/>
      <c r="K42" s="1606"/>
      <c r="L42" s="1628"/>
    </row>
    <row r="43" spans="1:12" ht="11.25" customHeight="1" x14ac:dyDescent="0.25">
      <c r="A43" s="326" t="str">
        <f>"Total "&amp;A40</f>
        <v>Total Non current liabilities - Borrowing</v>
      </c>
      <c r="B43" s="293"/>
      <c r="C43" s="213">
        <f>SUM(C41:C42)</f>
        <v>0</v>
      </c>
      <c r="D43" s="213">
        <f t="shared" ref="D43:L43" si="6">SUM(D41:D42)</f>
        <v>0</v>
      </c>
      <c r="E43" s="214">
        <f t="shared" si="6"/>
        <v>0</v>
      </c>
      <c r="F43" s="215">
        <f t="shared" si="6"/>
        <v>0</v>
      </c>
      <c r="G43" s="213">
        <f t="shared" si="6"/>
        <v>0</v>
      </c>
      <c r="H43" s="214">
        <f t="shared" si="6"/>
        <v>0</v>
      </c>
      <c r="I43" s="212">
        <f t="shared" si="6"/>
        <v>0</v>
      </c>
      <c r="J43" s="216">
        <f t="shared" si="6"/>
        <v>0</v>
      </c>
      <c r="K43" s="213">
        <f t="shared" si="6"/>
        <v>0</v>
      </c>
      <c r="L43" s="214">
        <f t="shared" si="6"/>
        <v>0</v>
      </c>
    </row>
    <row r="44" spans="1:12" ht="5.0999999999999996" customHeight="1" x14ac:dyDescent="0.25">
      <c r="A44" s="201"/>
      <c r="B44" s="293"/>
      <c r="C44" s="203"/>
      <c r="D44" s="203"/>
      <c r="E44" s="204"/>
      <c r="F44" s="205"/>
      <c r="G44" s="203"/>
      <c r="H44" s="204"/>
      <c r="I44" s="202"/>
      <c r="J44" s="206"/>
      <c r="K44" s="203"/>
      <c r="L44" s="204"/>
    </row>
    <row r="45" spans="1:12" ht="11.25" customHeight="1" x14ac:dyDescent="0.25">
      <c r="A45" s="181" t="str">
        <f>'A6-FinPos'!A38&amp;" - non-current"</f>
        <v>Provisions - non-current</v>
      </c>
      <c r="B45" s="293"/>
      <c r="C45" s="203"/>
      <c r="D45" s="203"/>
      <c r="E45" s="204"/>
      <c r="F45" s="205"/>
      <c r="G45" s="203"/>
      <c r="H45" s="204"/>
      <c r="I45" s="202"/>
      <c r="J45" s="206"/>
      <c r="K45" s="203"/>
      <c r="L45" s="204"/>
    </row>
    <row r="46" spans="1:12" ht="11.25" customHeight="1" x14ac:dyDescent="0.25">
      <c r="A46" s="190" t="s">
        <v>1334</v>
      </c>
      <c r="B46" s="293"/>
      <c r="C46" s="1606"/>
      <c r="D46" s="1606"/>
      <c r="E46" s="1628"/>
      <c r="F46" s="1629"/>
      <c r="G46" s="1606"/>
      <c r="H46" s="1628"/>
      <c r="I46" s="1630"/>
      <c r="J46" s="1608"/>
      <c r="K46" s="1606"/>
      <c r="L46" s="1628"/>
    </row>
    <row r="47" spans="1:12" ht="11.25" customHeight="1" x14ac:dyDescent="0.25">
      <c r="A47" s="415" t="s">
        <v>1336</v>
      </c>
      <c r="B47" s="293"/>
      <c r="C47" s="203"/>
      <c r="D47" s="203"/>
      <c r="E47" s="204"/>
      <c r="F47" s="205"/>
      <c r="G47" s="203"/>
      <c r="H47" s="204"/>
      <c r="I47" s="202"/>
      <c r="J47" s="206"/>
      <c r="K47" s="203"/>
      <c r="L47" s="204"/>
    </row>
    <row r="48" spans="1:12" ht="11.25" customHeight="1" x14ac:dyDescent="0.25">
      <c r="A48" s="1627" t="s">
        <v>280</v>
      </c>
      <c r="B48" s="293"/>
      <c r="C48" s="1606">
        <v>8617991</v>
      </c>
      <c r="D48" s="1606">
        <v>14401026</v>
      </c>
      <c r="E48" s="1628">
        <v>20858137</v>
      </c>
      <c r="F48" s="1629">
        <v>15293889.612000002</v>
      </c>
      <c r="G48" s="1606">
        <v>15293889.612000002</v>
      </c>
      <c r="H48" s="1606">
        <v>15293889.612000002</v>
      </c>
      <c r="I48" s="1630">
        <v>20858137</v>
      </c>
      <c r="J48" s="1608">
        <v>22067908.946000002</v>
      </c>
      <c r="K48" s="1606">
        <f>J48*1.059</f>
        <v>23369915.573814001</v>
      </c>
      <c r="L48" s="1628">
        <f>K48*1.059</f>
        <v>24748740.592669025</v>
      </c>
    </row>
    <row r="49" spans="1:12" ht="11.25" customHeight="1" x14ac:dyDescent="0.25">
      <c r="A49" s="1627" t="s">
        <v>292</v>
      </c>
      <c r="B49" s="293"/>
      <c r="C49" s="1606"/>
      <c r="D49" s="1606"/>
      <c r="E49" s="1628"/>
      <c r="F49" s="1629"/>
      <c r="G49" s="1606"/>
      <c r="H49" s="1628"/>
      <c r="I49" s="1630"/>
      <c r="J49" s="1608"/>
      <c r="K49" s="1606"/>
      <c r="L49" s="1628"/>
    </row>
    <row r="50" spans="1:12" ht="11.25" customHeight="1" x14ac:dyDescent="0.25">
      <c r="A50" s="326" t="str">
        <f>"Total "&amp;A45</f>
        <v>Total Provisions - non-current</v>
      </c>
      <c r="B50" s="293"/>
      <c r="C50" s="213">
        <f t="shared" ref="C50:L50" si="7">SUM(C46:C49)</f>
        <v>8617991</v>
      </c>
      <c r="D50" s="213">
        <f t="shared" si="7"/>
        <v>14401026</v>
      </c>
      <c r="E50" s="214">
        <f t="shared" si="7"/>
        <v>20858137</v>
      </c>
      <c r="F50" s="215">
        <f t="shared" si="7"/>
        <v>15293889.612000002</v>
      </c>
      <c r="G50" s="213">
        <f t="shared" si="7"/>
        <v>15293889.612000002</v>
      </c>
      <c r="H50" s="214">
        <f t="shared" si="7"/>
        <v>15293889.612000002</v>
      </c>
      <c r="I50" s="212">
        <f t="shared" si="7"/>
        <v>20858137</v>
      </c>
      <c r="J50" s="216">
        <f t="shared" si="7"/>
        <v>22067908.946000002</v>
      </c>
      <c r="K50" s="213">
        <f t="shared" si="7"/>
        <v>23369915.573814001</v>
      </c>
      <c r="L50" s="214">
        <f t="shared" si="7"/>
        <v>24748740.592669025</v>
      </c>
    </row>
    <row r="51" spans="1:12" ht="5.0999999999999996" customHeight="1" x14ac:dyDescent="0.25">
      <c r="A51" s="201"/>
      <c r="B51" s="293"/>
      <c r="C51" s="203"/>
      <c r="D51" s="203"/>
      <c r="E51" s="204"/>
      <c r="F51" s="205"/>
      <c r="G51" s="203"/>
      <c r="H51" s="204"/>
      <c r="I51" s="202"/>
      <c r="J51" s="206"/>
      <c r="K51" s="203"/>
      <c r="L51" s="204"/>
    </row>
    <row r="52" spans="1:12" ht="15.75" customHeight="1" x14ac:dyDescent="0.25">
      <c r="A52" s="427" t="s">
        <v>1061</v>
      </c>
      <c r="B52" s="407"/>
      <c r="C52" s="408"/>
      <c r="D52" s="408"/>
      <c r="E52" s="409"/>
      <c r="F52" s="410"/>
      <c r="G52" s="408"/>
      <c r="H52" s="409"/>
      <c r="I52" s="411"/>
      <c r="J52" s="412"/>
      <c r="K52" s="408"/>
      <c r="L52" s="409"/>
    </row>
    <row r="53" spans="1:12" ht="11.25" customHeight="1" x14ac:dyDescent="0.25">
      <c r="A53" s="401" t="str">
        <f>'A6-FinPos'!A45</f>
        <v>Accumulated Surplus/(Deficit)</v>
      </c>
      <c r="B53" s="293"/>
      <c r="C53" s="203"/>
      <c r="D53" s="203"/>
      <c r="E53" s="204"/>
      <c r="F53" s="205"/>
      <c r="G53" s="203"/>
      <c r="H53" s="204"/>
      <c r="I53" s="202"/>
      <c r="J53" s="206"/>
      <c r="K53" s="203"/>
      <c r="L53" s="204"/>
    </row>
    <row r="54" spans="1:12" ht="11.25" customHeight="1" x14ac:dyDescent="0.25">
      <c r="A54" s="190" t="str">
        <f>A53&amp;" - opening balance"</f>
        <v>Accumulated Surplus/(Deficit) - opening balance</v>
      </c>
      <c r="B54" s="293"/>
      <c r="C54" s="1606">
        <v>2008152777</v>
      </c>
      <c r="D54" s="1606">
        <v>2038374983.27</v>
      </c>
      <c r="E54" s="1628"/>
      <c r="F54" s="1629">
        <f>2238887144.91-164</f>
        <v>2238886980.9099998</v>
      </c>
      <c r="G54" s="1606">
        <v>1976839121</v>
      </c>
      <c r="H54" s="1606">
        <v>1976839121</v>
      </c>
      <c r="I54" s="1630">
        <v>1880452802.6600001</v>
      </c>
      <c r="J54" s="1608">
        <v>1777818960.6140001</v>
      </c>
      <c r="K54" s="1606">
        <v>1882710279.29023</v>
      </c>
      <c r="L54" s="1628">
        <v>1988071945.1837599</v>
      </c>
    </row>
    <row r="55" spans="1:12" ht="11.25" customHeight="1" x14ac:dyDescent="0.25">
      <c r="A55" s="190" t="s">
        <v>1686</v>
      </c>
      <c r="B55" s="293"/>
      <c r="C55" s="1606"/>
      <c r="D55" s="1606"/>
      <c r="E55" s="1628"/>
      <c r="F55" s="1629"/>
      <c r="G55" s="1606"/>
      <c r="H55" s="1628"/>
      <c r="I55" s="1630"/>
      <c r="J55" s="1608"/>
      <c r="K55" s="1606"/>
      <c r="L55" s="1628"/>
    </row>
    <row r="56" spans="1:12" ht="11.25" customHeight="1" x14ac:dyDescent="0.25">
      <c r="A56" s="190" t="s">
        <v>1688</v>
      </c>
      <c r="B56" s="293"/>
      <c r="C56" s="203">
        <f>SUM(C54:C55)</f>
        <v>2008152777</v>
      </c>
      <c r="D56" s="203">
        <f>SUM(D54:D55)</f>
        <v>2038374983.27</v>
      </c>
      <c r="E56" s="204">
        <f>SUM(E54:E55)</f>
        <v>0</v>
      </c>
      <c r="F56" s="205">
        <f t="shared" ref="F56:L56" si="8">SUM(F54:F55)</f>
        <v>2238886980.9099998</v>
      </c>
      <c r="G56" s="203">
        <f t="shared" si="8"/>
        <v>1976839121</v>
      </c>
      <c r="H56" s="204">
        <f t="shared" si="8"/>
        <v>1976839121</v>
      </c>
      <c r="I56" s="202">
        <f t="shared" si="8"/>
        <v>1880452802.6600001</v>
      </c>
      <c r="J56" s="206">
        <f t="shared" si="8"/>
        <v>1777818960.6140001</v>
      </c>
      <c r="K56" s="203">
        <f t="shared" si="8"/>
        <v>1882710279.29023</v>
      </c>
      <c r="L56" s="204">
        <f t="shared" si="8"/>
        <v>1988071945.1837599</v>
      </c>
    </row>
    <row r="57" spans="1:12" ht="11.25" customHeight="1" x14ac:dyDescent="0.25">
      <c r="A57" s="190" t="str">
        <f>'A4-FinPerf RE'!A38</f>
        <v>Surplus/(Deficit)</v>
      </c>
      <c r="B57" s="293"/>
      <c r="C57" s="207">
        <f>'A4-FinPerf RE'!C46</f>
        <v>14225858</v>
      </c>
      <c r="D57" s="207">
        <f>'A4-FinPerf RE'!D46</f>
        <v>30489701</v>
      </c>
      <c r="E57" s="264">
        <f>'A4-FinPerf RE'!E46</f>
        <v>-132346446.52999997</v>
      </c>
      <c r="F57" s="251">
        <f>'A4-FinPerf RE'!F46</f>
        <v>-68443590.786256015</v>
      </c>
      <c r="G57" s="203">
        <f>'A4-FinPerf RE'!G46</f>
        <v>141053425.84374395</v>
      </c>
      <c r="H57" s="204">
        <f>'A4-FinPerf RE'!H46</f>
        <v>141053425.84374395</v>
      </c>
      <c r="I57" s="202">
        <f>'A4-FinPerf RE'!I46</f>
        <v>96357589.340000004</v>
      </c>
      <c r="J57" s="211">
        <f>'A4-FinPerf RE'!J46</f>
        <v>-20867501.849999905</v>
      </c>
      <c r="K57" s="207">
        <f>'A4-FinPerf RE'!K46</f>
        <v>-22098684.459150016</v>
      </c>
      <c r="L57" s="204">
        <f>'A4-FinPerf RE'!L46</f>
        <v>-23336210.788862467</v>
      </c>
    </row>
    <row r="58" spans="1:12" ht="11.25" customHeight="1" x14ac:dyDescent="0.25">
      <c r="A58" s="190" t="s">
        <v>1684</v>
      </c>
      <c r="B58" s="293"/>
      <c r="C58" s="1606"/>
      <c r="D58" s="1606"/>
      <c r="E58" s="1628"/>
      <c r="F58" s="1629"/>
      <c r="G58" s="1606"/>
      <c r="H58" s="1628"/>
      <c r="I58" s="1630"/>
      <c r="J58" s="1608"/>
      <c r="K58" s="1606"/>
      <c r="L58" s="1628"/>
    </row>
    <row r="59" spans="1:12" ht="11.25" customHeight="1" x14ac:dyDescent="0.25">
      <c r="A59" s="190" t="s">
        <v>1685</v>
      </c>
      <c r="B59" s="293"/>
      <c r="C59" s="1606"/>
      <c r="D59" s="1606"/>
      <c r="E59" s="1628"/>
      <c r="F59" s="1629"/>
      <c r="G59" s="1606"/>
      <c r="H59" s="1628"/>
      <c r="I59" s="1630"/>
      <c r="J59" s="1608"/>
      <c r="K59" s="1606"/>
      <c r="L59" s="1628"/>
    </row>
    <row r="60" spans="1:12" ht="11.25" customHeight="1" x14ac:dyDescent="0.25">
      <c r="A60" s="190" t="s">
        <v>1326</v>
      </c>
      <c r="B60" s="293"/>
      <c r="C60" s="1606"/>
      <c r="D60" s="1606"/>
      <c r="E60" s="1628"/>
      <c r="F60" s="1629"/>
      <c r="G60" s="1606"/>
      <c r="H60" s="1628"/>
      <c r="I60" s="1630"/>
      <c r="J60" s="1608"/>
      <c r="K60" s="1606"/>
      <c r="L60" s="1628"/>
    </row>
    <row r="61" spans="1:12" ht="11.25" customHeight="1" x14ac:dyDescent="0.25">
      <c r="A61" s="190" t="s">
        <v>1687</v>
      </c>
      <c r="B61" s="293"/>
      <c r="C61" s="1606"/>
      <c r="D61" s="1606"/>
      <c r="E61" s="1628"/>
      <c r="F61" s="1629"/>
      <c r="G61" s="1606"/>
      <c r="H61" s="1628"/>
      <c r="I61" s="1630"/>
      <c r="J61" s="1608"/>
      <c r="K61" s="1606"/>
      <c r="L61" s="1628"/>
    </row>
    <row r="62" spans="1:12" ht="11.25" customHeight="1" x14ac:dyDescent="0.25">
      <c r="A62" s="1284" t="s">
        <v>424</v>
      </c>
      <c r="B62" s="293">
        <v>1</v>
      </c>
      <c r="C62" s="213">
        <f>SUM(C56:C61)</f>
        <v>2022378635</v>
      </c>
      <c r="D62" s="213">
        <f>SUM(D56:D61)</f>
        <v>2068864684.27</v>
      </c>
      <c r="E62" s="214">
        <f t="shared" ref="E62:L62" si="9">SUM(E56:E61)</f>
        <v>-132346446.52999997</v>
      </c>
      <c r="F62" s="215">
        <f t="shared" si="9"/>
        <v>2170443390.123744</v>
      </c>
      <c r="G62" s="213">
        <f t="shared" si="9"/>
        <v>2117892546.843744</v>
      </c>
      <c r="H62" s="214">
        <f t="shared" si="9"/>
        <v>2117892546.843744</v>
      </c>
      <c r="I62" s="212">
        <f t="shared" si="9"/>
        <v>1976810392</v>
      </c>
      <c r="J62" s="216">
        <f t="shared" si="9"/>
        <v>1756951458.7640002</v>
      </c>
      <c r="K62" s="213">
        <f t="shared" si="9"/>
        <v>1860611594.83108</v>
      </c>
      <c r="L62" s="214">
        <f t="shared" si="9"/>
        <v>1964735734.3948975</v>
      </c>
    </row>
    <row r="63" spans="1:12" ht="11.25" customHeight="1" x14ac:dyDescent="0.25">
      <c r="A63" s="181" t="s">
        <v>747</v>
      </c>
      <c r="B63" s="295"/>
      <c r="C63" s="203"/>
      <c r="D63" s="203"/>
      <c r="E63" s="204"/>
      <c r="F63" s="205"/>
      <c r="G63" s="203"/>
      <c r="H63" s="204"/>
      <c r="I63" s="202"/>
      <c r="J63" s="206"/>
      <c r="K63" s="203"/>
      <c r="L63" s="204"/>
    </row>
    <row r="64" spans="1:12" ht="11.25" customHeight="1" x14ac:dyDescent="0.25">
      <c r="A64" s="325" t="s">
        <v>105</v>
      </c>
      <c r="B64" s="293"/>
      <c r="C64" s="1606"/>
      <c r="D64" s="1606"/>
      <c r="E64" s="1628"/>
      <c r="F64" s="1629"/>
      <c r="G64" s="1606"/>
      <c r="H64" s="1628"/>
      <c r="I64" s="1630"/>
      <c r="J64" s="1608"/>
      <c r="K64" s="1606"/>
      <c r="L64" s="1628"/>
    </row>
    <row r="65" spans="1:12" ht="11.25" customHeight="1" x14ac:dyDescent="0.25">
      <c r="A65" s="325" t="s">
        <v>1493</v>
      </c>
      <c r="B65" s="293"/>
      <c r="C65" s="1606"/>
      <c r="D65" s="1606"/>
      <c r="E65" s="1628"/>
      <c r="F65" s="1629"/>
      <c r="G65" s="1606"/>
      <c r="H65" s="1628"/>
      <c r="I65" s="1630"/>
      <c r="J65" s="1608"/>
      <c r="K65" s="1606"/>
      <c r="L65" s="1628"/>
    </row>
    <row r="66" spans="1:12" ht="11.25" customHeight="1" x14ac:dyDescent="0.25">
      <c r="A66" s="325" t="s">
        <v>1494</v>
      </c>
      <c r="B66" s="293"/>
      <c r="C66" s="1606"/>
      <c r="D66" s="1606"/>
      <c r="E66" s="1628"/>
      <c r="F66" s="1629"/>
      <c r="G66" s="1606"/>
      <c r="H66" s="1628"/>
      <c r="I66" s="1630"/>
      <c r="J66" s="1608"/>
      <c r="K66" s="1606"/>
      <c r="L66" s="1628"/>
    </row>
    <row r="67" spans="1:12" ht="11.25" customHeight="1" x14ac:dyDescent="0.25">
      <c r="A67" s="1627" t="s">
        <v>2056</v>
      </c>
      <c r="B67" s="293"/>
      <c r="C67" s="1606"/>
      <c r="D67" s="1628">
        <v>-429343072</v>
      </c>
      <c r="E67" s="1628"/>
      <c r="F67" s="1629"/>
      <c r="G67" s="1606"/>
      <c r="H67" s="1628"/>
      <c r="I67" s="1630"/>
      <c r="J67" s="1608"/>
      <c r="K67" s="1606"/>
      <c r="L67" s="1628"/>
    </row>
    <row r="68" spans="1:12" ht="11.25" customHeight="1" x14ac:dyDescent="0.25">
      <c r="A68" s="325" t="s">
        <v>1492</v>
      </c>
      <c r="B68" s="293"/>
      <c r="C68" s="1606"/>
      <c r="D68" s="1606"/>
      <c r="E68" s="1628"/>
      <c r="F68" s="1629"/>
      <c r="G68" s="1606"/>
      <c r="H68" s="1628"/>
      <c r="I68" s="1630"/>
      <c r="J68" s="1608"/>
      <c r="K68" s="1606"/>
      <c r="L68" s="1628"/>
    </row>
    <row r="69" spans="1:12" ht="11.25" customHeight="1" x14ac:dyDescent="0.25">
      <c r="A69" s="326" t="s">
        <v>1075</v>
      </c>
      <c r="B69" s="293">
        <v>2</v>
      </c>
      <c r="C69" s="213">
        <f t="shared" ref="C69:L69" si="10">SUM(C64:C68)</f>
        <v>0</v>
      </c>
      <c r="D69" s="213">
        <f t="shared" si="10"/>
        <v>-429343072</v>
      </c>
      <c r="E69" s="214">
        <f t="shared" si="10"/>
        <v>0</v>
      </c>
      <c r="F69" s="215">
        <f t="shared" si="10"/>
        <v>0</v>
      </c>
      <c r="G69" s="213">
        <f t="shared" si="10"/>
        <v>0</v>
      </c>
      <c r="H69" s="214">
        <f t="shared" si="10"/>
        <v>0</v>
      </c>
      <c r="I69" s="212">
        <f t="shared" si="10"/>
        <v>0</v>
      </c>
      <c r="J69" s="216">
        <f t="shared" si="10"/>
        <v>0</v>
      </c>
      <c r="K69" s="213">
        <f t="shared" si="10"/>
        <v>0</v>
      </c>
      <c r="L69" s="214">
        <f t="shared" si="10"/>
        <v>0</v>
      </c>
    </row>
    <row r="70" spans="1:12" x14ac:dyDescent="0.25">
      <c r="A70" s="428" t="str">
        <f>'A6-FinPos'!A48</f>
        <v>TOTAL COMMUNITY WEALTH/EQUITY</v>
      </c>
      <c r="B70" s="306">
        <v>2</v>
      </c>
      <c r="C70" s="230">
        <f t="shared" ref="C70:L70" si="11">C62+C69</f>
        <v>2022378635</v>
      </c>
      <c r="D70" s="230">
        <f t="shared" si="11"/>
        <v>1639521612.27</v>
      </c>
      <c r="E70" s="228">
        <f t="shared" si="11"/>
        <v>-132346446.52999997</v>
      </c>
      <c r="F70" s="229">
        <f t="shared" si="11"/>
        <v>2170443390.123744</v>
      </c>
      <c r="G70" s="230">
        <f t="shared" si="11"/>
        <v>2117892546.843744</v>
      </c>
      <c r="H70" s="228">
        <f t="shared" si="11"/>
        <v>2117892546.843744</v>
      </c>
      <c r="I70" s="231">
        <f t="shared" si="11"/>
        <v>1976810392</v>
      </c>
      <c r="J70" s="232">
        <f t="shared" si="11"/>
        <v>1756951458.7640002</v>
      </c>
      <c r="K70" s="230">
        <f t="shared" si="11"/>
        <v>1860611594.83108</v>
      </c>
      <c r="L70" s="228">
        <f t="shared" si="11"/>
        <v>1964735734.3948975</v>
      </c>
    </row>
    <row r="71" spans="1:12" ht="5.0999999999999996" customHeight="1" x14ac:dyDescent="0.25">
      <c r="A71" s="237"/>
      <c r="B71" s="429"/>
      <c r="C71" s="238"/>
      <c r="D71" s="238"/>
      <c r="E71" s="238"/>
      <c r="F71" s="238"/>
      <c r="G71" s="238"/>
      <c r="H71" s="238"/>
      <c r="I71" s="238"/>
      <c r="J71" s="238"/>
      <c r="K71" s="238"/>
      <c r="L71" s="238"/>
    </row>
    <row r="72" spans="1:12" ht="13.5" x14ac:dyDescent="0.25">
      <c r="A72" s="147" t="s">
        <v>1337</v>
      </c>
      <c r="B72" s="147"/>
      <c r="C72" s="147"/>
      <c r="D72" s="147"/>
      <c r="E72" s="147"/>
      <c r="F72" s="147"/>
      <c r="G72" s="147"/>
      <c r="H72" s="147"/>
      <c r="I72" s="147"/>
      <c r="J72" s="147"/>
      <c r="K72" s="147"/>
      <c r="L72" s="147"/>
    </row>
    <row r="73" spans="1:12" x14ac:dyDescent="0.25">
      <c r="A73" s="430" t="s">
        <v>1456</v>
      </c>
      <c r="B73" s="431"/>
      <c r="C73" s="1688"/>
      <c r="D73" s="1688"/>
      <c r="E73" s="1689"/>
      <c r="F73" s="1690"/>
      <c r="G73" s="1688"/>
      <c r="H73" s="1689"/>
      <c r="I73" s="1691"/>
      <c r="J73" s="1692"/>
      <c r="K73" s="1688"/>
      <c r="L73" s="1689"/>
    </row>
    <row r="74" spans="1:12" x14ac:dyDescent="0.25">
      <c r="A74" s="2166"/>
      <c r="B74" s="236"/>
      <c r="C74" s="1606"/>
      <c r="D74" s="1606"/>
      <c r="E74" s="1628"/>
      <c r="F74" s="1629"/>
      <c r="G74" s="1606"/>
      <c r="H74" s="1628"/>
      <c r="I74" s="1630"/>
      <c r="J74" s="1608"/>
      <c r="K74" s="1606"/>
      <c r="L74" s="1628"/>
    </row>
    <row r="75" spans="1:12" x14ac:dyDescent="0.25">
      <c r="A75" s="1687"/>
      <c r="B75" s="337"/>
      <c r="C75" s="1693"/>
      <c r="D75" s="1693"/>
      <c r="E75" s="1694"/>
      <c r="F75" s="1695"/>
      <c r="G75" s="1693"/>
      <c r="H75" s="1694"/>
      <c r="I75" s="1696"/>
      <c r="J75" s="1697"/>
      <c r="K75" s="1693"/>
      <c r="L75" s="1694"/>
    </row>
    <row r="76" spans="1:12" ht="11.25" customHeight="1" x14ac:dyDescent="0.25">
      <c r="A76" s="235" t="str">
        <f>head27a</f>
        <v>References</v>
      </c>
      <c r="B76" s="236"/>
      <c r="C76" s="241"/>
      <c r="D76" s="241"/>
      <c r="E76" s="241"/>
      <c r="F76" s="241"/>
      <c r="G76" s="241"/>
      <c r="H76" s="241"/>
      <c r="I76" s="241"/>
      <c r="J76" s="241"/>
      <c r="K76" s="241"/>
      <c r="L76" s="241"/>
    </row>
    <row r="77" spans="1:12" ht="11.25" customHeight="1" x14ac:dyDescent="0.25">
      <c r="A77" s="287" t="str">
        <f>"1. Must reconcile with "&amp;'Template names'!F103</f>
        <v>1. Must reconcile with Table A4 Budgeted Financial Performance (revenue and expenditure)</v>
      </c>
      <c r="B77" s="236"/>
      <c r="C77" s="240"/>
      <c r="D77" s="240"/>
      <c r="E77" s="241"/>
      <c r="F77" s="241"/>
      <c r="G77" s="241"/>
      <c r="H77" s="241"/>
      <c r="I77" s="241"/>
      <c r="J77" s="241"/>
      <c r="K77" s="241"/>
      <c r="L77" s="241"/>
    </row>
    <row r="78" spans="1:12" ht="11.25" customHeight="1" x14ac:dyDescent="0.25">
      <c r="A78" s="287" t="str">
        <f>"2. Must reconcile with "&amp;'Template names'!F105</f>
        <v>2. Must reconcile with Table A6 Budgeted Financial Position</v>
      </c>
      <c r="B78" s="236"/>
      <c r="C78" s="240"/>
      <c r="D78" s="240"/>
      <c r="E78" s="241"/>
      <c r="F78" s="241"/>
      <c r="G78" s="241"/>
      <c r="H78" s="241"/>
      <c r="I78" s="241"/>
      <c r="J78" s="241"/>
      <c r="K78" s="241"/>
      <c r="L78" s="241"/>
    </row>
    <row r="79" spans="1:12" ht="11.25" customHeight="1" x14ac:dyDescent="0.25">
      <c r="A79" s="287" t="s">
        <v>1038</v>
      </c>
      <c r="B79" s="236"/>
      <c r="C79" s="240"/>
      <c r="D79" s="240"/>
      <c r="E79" s="241"/>
      <c r="F79" s="241"/>
      <c r="G79" s="241"/>
      <c r="H79" s="241"/>
      <c r="I79" s="241"/>
      <c r="J79" s="241"/>
      <c r="K79" s="241"/>
      <c r="L79" s="241"/>
    </row>
    <row r="80" spans="1:12" ht="11.25" customHeight="1" x14ac:dyDescent="0.25">
      <c r="A80" s="287" t="s">
        <v>768</v>
      </c>
    </row>
    <row r="81" spans="1:12" ht="11.25" customHeight="1" x14ac:dyDescent="0.25">
      <c r="A81" s="436" t="s">
        <v>1509</v>
      </c>
      <c r="C81" s="344">
        <f>C70-'A6-FinPos'!C48</f>
        <v>-872129374</v>
      </c>
      <c r="D81" s="344">
        <f>D70-'A6-FinPos'!D48</f>
        <v>-305.73000001907349</v>
      </c>
      <c r="E81" s="344">
        <f>E70-'A6-FinPos'!E48</f>
        <v>-1614733237.53</v>
      </c>
      <c r="F81" s="344">
        <f>F70-'A6-FinPos'!F48</f>
        <v>3.7441253662109375E-3</v>
      </c>
      <c r="G81" s="437">
        <f>G70-'A6-FinPos'!G48</f>
        <v>141053425.44374394</v>
      </c>
      <c r="H81" s="437">
        <f>H70-'A6-FinPos'!H48</f>
        <v>141053425.44374394</v>
      </c>
      <c r="I81" s="437">
        <f>I70-'A6-FinPos'!I48</f>
        <v>0</v>
      </c>
      <c r="J81" s="437">
        <f>J70-'A6-FinPos'!J48</f>
        <v>0</v>
      </c>
      <c r="K81" s="437">
        <f>K70-'A6-FinPos'!K48</f>
        <v>4.0531158447265625E-6</v>
      </c>
      <c r="L81" s="437">
        <f>L70-'A6-FinPos'!L48</f>
        <v>2.384185791015625E-6</v>
      </c>
    </row>
    <row r="82" spans="1:12" ht="11.25" customHeight="1" x14ac:dyDescent="0.25">
      <c r="C82" s="310">
        <f>TREND(D82:H82)</f>
        <v>0</v>
      </c>
      <c r="D82" s="310">
        <f>TREND(E82:H82)</f>
        <v>0</v>
      </c>
      <c r="E82" s="310">
        <f>E73</f>
        <v>0</v>
      </c>
      <c r="F82" s="310">
        <f>H73</f>
        <v>0</v>
      </c>
      <c r="G82" s="310">
        <f>J73</f>
        <v>0</v>
      </c>
      <c r="H82" s="310">
        <f>K73</f>
        <v>0</v>
      </c>
      <c r="I82" s="310">
        <f>L73</f>
        <v>0</v>
      </c>
      <c r="J82" s="310"/>
      <c r="K82" s="310"/>
      <c r="L82" s="310"/>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sheetProtection sheet="1" objects="1" scenarios="1"/>
  <customSheetViews>
    <customSheetView guid="{F50C5479-5CC4-4FD7-8319-543D29E829F0}" showGridLines="0" fitToPage="1">
      <pane xSplit="2" ySplit="4" topLeftCell="C48" activePane="bottomRight" state="frozen"/>
      <selection pane="bottomRight" activeCell="G54" sqref="G54"/>
      <pageMargins left="0" right="0" top="0.78740157480314965" bottom="0.59055118110236227" header="0.51181102362204722" footer="0.39370078740157483"/>
      <printOptions horizontalCentered="1"/>
      <pageSetup paperSize="9" scale="81" orientation="portrait" r:id="rId1"/>
      <headerFooter alignWithMargins="0"/>
    </customSheetView>
  </customSheetViews>
  <mergeCells count="4">
    <mergeCell ref="A2:A3"/>
    <mergeCell ref="B2:B3"/>
    <mergeCell ref="J2:L2"/>
    <mergeCell ref="F2:I2"/>
  </mergeCells>
  <phoneticPr fontId="2" type="noConversion"/>
  <dataValidations count="1">
    <dataValidation type="decimal" allowBlank="1" showInputMessage="1" showErrorMessage="1" sqref="C7:L8 C12:L13 C17:L19 C23:L25 C30:L31 C35:L37 C41:L42 C46:L46 C48:L49 C54:L55 C58:L61 C73:L75 C67:D67 C64:L66 C68:L68 F67:L67">
      <formula1>-99999999999999900000</formula1>
      <formula2>99999999999999900000</formula2>
    </dataValidation>
  </dataValidations>
  <printOptions horizontalCentered="1"/>
  <pageMargins left="0" right="0" top="0.78740157480314965" bottom="0.59055118110236227" header="0.51181102362204722" footer="0.39370078740157483"/>
  <pageSetup paperSize="9" scale="81" orientation="portrait"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42"/>
    <pageSetUpPr fitToPage="1"/>
  </sheetPr>
  <dimension ref="A1:V28"/>
  <sheetViews>
    <sheetView showGridLines="0" zoomScaleNormal="100" workbookViewId="0">
      <pane xSplit="4" ySplit="3" topLeftCell="E12" activePane="bottomRight" state="frozen"/>
      <selection activeCell="F35" sqref="F35"/>
      <selection pane="topRight" activeCell="F35" sqref="F35"/>
      <selection pane="bottomLeft" activeCell="F35" sqref="F35"/>
      <selection pane="bottomRight" activeCell="M18" sqref="M18"/>
    </sheetView>
  </sheetViews>
  <sheetFormatPr defaultRowHeight="12.75" x14ac:dyDescent="0.25"/>
  <cols>
    <col min="1" max="2" width="18.7109375" style="149" customWidth="1"/>
    <col min="3" max="3" width="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2" s="179" customFormat="1" x14ac:dyDescent="0.2">
      <c r="A1" s="147" t="str">
        <f>muni&amp;" - "&amp;TableA4</f>
        <v>MP315 Thembisile Hani - Supporting Table SA4 Reconciliation of IDP strategic objectives and budget (revenue)</v>
      </c>
      <c r="B1" s="147"/>
      <c r="C1" s="147"/>
      <c r="D1" s="147"/>
      <c r="E1" s="147"/>
      <c r="F1" s="147"/>
      <c r="G1" s="147"/>
      <c r="H1" s="147"/>
      <c r="I1" s="147"/>
      <c r="J1" s="147"/>
      <c r="K1" s="147"/>
      <c r="L1" s="147"/>
      <c r="M1" s="147"/>
    </row>
    <row r="2" spans="1:22" ht="28.5" customHeight="1" x14ac:dyDescent="0.25">
      <c r="A2" s="970" t="s">
        <v>968</v>
      </c>
      <c r="B2" s="979" t="s">
        <v>1338</v>
      </c>
      <c r="C2" s="631" t="s">
        <v>2047</v>
      </c>
      <c r="D2" s="2793" t="str">
        <f>head27</f>
        <v>Ref</v>
      </c>
      <c r="E2" s="145" t="str">
        <f>head1b</f>
        <v>2011/12</v>
      </c>
      <c r="F2" s="150" t="str">
        <f>head1A</f>
        <v>2012/13</v>
      </c>
      <c r="G2" s="146" t="str">
        <f>Head1</f>
        <v>2013/14</v>
      </c>
      <c r="H2" s="2766" t="str">
        <f>Head2</f>
        <v>Current Year 2014/15</v>
      </c>
      <c r="I2" s="2767"/>
      <c r="J2" s="2771"/>
      <c r="K2" s="2763" t="str">
        <f>Head3</f>
        <v>2015/16 Medium Term Revenue &amp; Expenditure Framework</v>
      </c>
      <c r="L2" s="2764"/>
      <c r="M2" s="2765"/>
    </row>
    <row r="3" spans="1:22" ht="25.5" x14ac:dyDescent="0.25">
      <c r="A3" s="986" t="s">
        <v>662</v>
      </c>
      <c r="B3" s="985"/>
      <c r="C3" s="985"/>
      <c r="D3" s="2799"/>
      <c r="E3" s="388" t="str">
        <f>Head5</f>
        <v>Audited Outcome</v>
      </c>
      <c r="F3" s="389" t="str">
        <f>Head5</f>
        <v>Audited Outcome</v>
      </c>
      <c r="G3" s="390" t="str">
        <f>Head5</f>
        <v>Audited Outcome</v>
      </c>
      <c r="H3" s="299" t="str">
        <f>Head6</f>
        <v>Original Budget</v>
      </c>
      <c r="I3" s="389" t="str">
        <f>Head7</f>
        <v>Adjusted Budget</v>
      </c>
      <c r="J3" s="390" t="str">
        <f>Head8</f>
        <v>Full Year Forecast</v>
      </c>
      <c r="K3" s="299" t="str">
        <f>Head9</f>
        <v>Budget Year 2015/16</v>
      </c>
      <c r="L3" s="389" t="str">
        <f>Head10</f>
        <v>Budget Year +1 2016/17</v>
      </c>
      <c r="M3" s="390" t="str">
        <f>Head11</f>
        <v>Budget Year +2 2017/18</v>
      </c>
    </row>
    <row r="4" spans="1:22" ht="38.25" x14ac:dyDescent="0.25">
      <c r="A4" s="1698" t="s">
        <v>2629</v>
      </c>
      <c r="B4" s="1699" t="s">
        <v>2630</v>
      </c>
      <c r="C4" s="1699"/>
      <c r="D4" s="440"/>
      <c r="E4" s="1700">
        <v>250000</v>
      </c>
      <c r="F4" s="1700"/>
      <c r="G4" s="1701"/>
      <c r="H4" s="1702">
        <v>350000</v>
      </c>
      <c r="I4" s="1700">
        <v>350000</v>
      </c>
      <c r="J4" s="1703">
        <v>350000</v>
      </c>
      <c r="K4" s="1704"/>
      <c r="L4" s="1700"/>
      <c r="M4" s="1701"/>
      <c r="N4" s="245"/>
      <c r="O4" s="245"/>
      <c r="P4" s="245"/>
      <c r="Q4" s="245"/>
      <c r="R4" s="245"/>
      <c r="S4" s="245"/>
      <c r="T4" s="245"/>
      <c r="U4" s="245"/>
      <c r="V4" s="439"/>
    </row>
    <row r="5" spans="1:22" ht="51" x14ac:dyDescent="0.25">
      <c r="A5" s="1698" t="s">
        <v>2631</v>
      </c>
      <c r="B5" s="1699" t="s">
        <v>2632</v>
      </c>
      <c r="C5" s="1699"/>
      <c r="D5" s="440"/>
      <c r="E5" s="1700">
        <v>0</v>
      </c>
      <c r="F5" s="1700"/>
      <c r="G5" s="1701"/>
      <c r="H5" s="1702">
        <v>500000</v>
      </c>
      <c r="I5" s="1700">
        <v>500000</v>
      </c>
      <c r="J5" s="1703">
        <v>500000</v>
      </c>
      <c r="K5" s="1704"/>
      <c r="L5" s="1700"/>
      <c r="M5" s="1701"/>
      <c r="N5" s="245"/>
      <c r="O5" s="245"/>
      <c r="P5" s="245"/>
      <c r="Q5" s="245"/>
      <c r="R5" s="245"/>
      <c r="S5" s="245"/>
      <c r="T5" s="245"/>
      <c r="U5" s="245"/>
    </row>
    <row r="6" spans="1:22" ht="25.5" x14ac:dyDescent="0.25">
      <c r="A6" s="1698" t="s">
        <v>2633</v>
      </c>
      <c r="B6" s="1699" t="s">
        <v>2634</v>
      </c>
      <c r="C6" s="1699"/>
      <c r="D6" s="440"/>
      <c r="E6" s="1700"/>
      <c r="F6" s="1700"/>
      <c r="G6" s="1701"/>
      <c r="H6" s="1702">
        <v>391800001.63</v>
      </c>
      <c r="I6" s="1700">
        <v>391800001.63</v>
      </c>
      <c r="J6" s="1703">
        <v>391800001.63</v>
      </c>
      <c r="K6" s="1704">
        <f>'A4-FinPerf RE'!J19</f>
        <v>309291000</v>
      </c>
      <c r="L6" s="1700">
        <f>'A4-FinPerf RE'!K19</f>
        <v>327539169</v>
      </c>
      <c r="M6" s="1701">
        <f>'A4-FinPerf RE'!L19</f>
        <v>345881362.46399999</v>
      </c>
      <c r="N6" s="245"/>
      <c r="O6" s="245"/>
      <c r="P6" s="245"/>
      <c r="Q6" s="245"/>
      <c r="R6" s="245"/>
      <c r="S6" s="245"/>
      <c r="T6" s="245"/>
      <c r="U6" s="245"/>
    </row>
    <row r="7" spans="1:22" x14ac:dyDescent="0.25">
      <c r="A7" s="1698"/>
      <c r="B7" s="1699"/>
      <c r="C7" s="1699"/>
      <c r="D7" s="440"/>
      <c r="E7" s="1700">
        <v>0</v>
      </c>
      <c r="F7" s="1700"/>
      <c r="G7" s="1701"/>
      <c r="H7" s="1702"/>
      <c r="I7" s="1700"/>
      <c r="J7" s="1703"/>
      <c r="K7" s="1704"/>
      <c r="L7" s="1700"/>
      <c r="M7" s="1701"/>
      <c r="N7" s="245"/>
      <c r="O7" s="245"/>
      <c r="P7" s="245"/>
      <c r="Q7" s="245"/>
      <c r="R7" s="245"/>
      <c r="S7" s="245"/>
      <c r="T7" s="245"/>
      <c r="U7" s="245"/>
    </row>
    <row r="8" spans="1:22" ht="25.5" x14ac:dyDescent="0.25">
      <c r="A8" s="1698" t="s">
        <v>2635</v>
      </c>
      <c r="B8" s="1699" t="s">
        <v>2636</v>
      </c>
      <c r="C8" s="1699"/>
      <c r="D8" s="440"/>
      <c r="E8" s="1700">
        <v>200000</v>
      </c>
      <c r="F8" s="1700"/>
      <c r="G8" s="1701"/>
      <c r="H8" s="1702">
        <v>332406</v>
      </c>
      <c r="I8" s="1700">
        <v>332406</v>
      </c>
      <c r="J8" s="1703">
        <v>332406</v>
      </c>
      <c r="K8" s="1704"/>
      <c r="L8" s="1700"/>
      <c r="M8" s="1701"/>
      <c r="N8" s="245"/>
      <c r="O8" s="245"/>
      <c r="P8" s="245"/>
      <c r="Q8" s="245"/>
      <c r="R8" s="245"/>
      <c r="S8" s="245"/>
      <c r="T8" s="245"/>
      <c r="U8" s="245"/>
    </row>
    <row r="9" spans="1:22" ht="51" x14ac:dyDescent="0.25">
      <c r="A9" s="1698" t="s">
        <v>2637</v>
      </c>
      <c r="B9" s="1699" t="s">
        <v>2638</v>
      </c>
      <c r="C9" s="1699"/>
      <c r="D9" s="440"/>
      <c r="E9" s="1700">
        <v>200000</v>
      </c>
      <c r="F9" s="1700"/>
      <c r="G9" s="1701"/>
      <c r="H9" s="1702"/>
      <c r="I9" s="1700"/>
      <c r="J9" s="1703"/>
      <c r="K9" s="1704"/>
      <c r="L9" s="1700"/>
      <c r="M9" s="1701"/>
      <c r="N9" s="245"/>
      <c r="O9" s="245"/>
      <c r="P9" s="245"/>
      <c r="Q9" s="245"/>
      <c r="R9" s="245"/>
      <c r="S9" s="245"/>
      <c r="T9" s="245"/>
      <c r="U9" s="245"/>
    </row>
    <row r="10" spans="1:22" x14ac:dyDescent="0.25">
      <c r="A10" s="1698"/>
      <c r="B10" s="1699"/>
      <c r="C10" s="1699"/>
      <c r="D10" s="440"/>
      <c r="E10" s="1700">
        <v>0</v>
      </c>
      <c r="F10" s="1700"/>
      <c r="G10" s="1701"/>
      <c r="H10" s="1702"/>
      <c r="I10" s="1700"/>
      <c r="J10" s="1703"/>
      <c r="K10" s="1704"/>
      <c r="L10" s="1700"/>
      <c r="M10" s="1701"/>
      <c r="N10" s="245"/>
      <c r="O10" s="245"/>
      <c r="P10" s="245"/>
      <c r="Q10" s="245"/>
      <c r="R10" s="245"/>
      <c r="S10" s="245"/>
      <c r="T10" s="245"/>
      <c r="U10" s="245"/>
    </row>
    <row r="11" spans="1:22" ht="38.25" x14ac:dyDescent="0.25">
      <c r="A11" s="1698"/>
      <c r="B11" s="1699" t="s">
        <v>2639</v>
      </c>
      <c r="C11" s="1699"/>
      <c r="D11" s="440"/>
      <c r="E11" s="1700">
        <v>0</v>
      </c>
      <c r="F11" s="1700"/>
      <c r="G11" s="1701"/>
      <c r="H11" s="1702"/>
      <c r="I11" s="1700"/>
      <c r="J11" s="1703"/>
      <c r="K11" s="1704"/>
      <c r="L11" s="1700"/>
      <c r="M11" s="1701"/>
      <c r="N11" s="245"/>
      <c r="O11" s="245"/>
      <c r="P11" s="245"/>
      <c r="Q11" s="245"/>
      <c r="R11" s="245"/>
      <c r="S11" s="245"/>
      <c r="T11" s="245"/>
      <c r="U11" s="245"/>
    </row>
    <row r="12" spans="1:22" x14ac:dyDescent="0.25">
      <c r="A12" s="1698"/>
      <c r="B12" s="1699"/>
      <c r="C12" s="1699"/>
      <c r="D12" s="440"/>
      <c r="E12" s="1700">
        <v>10000</v>
      </c>
      <c r="F12" s="1700"/>
      <c r="G12" s="1701"/>
      <c r="H12" s="1702"/>
      <c r="I12" s="1700"/>
      <c r="J12" s="1703"/>
      <c r="K12" s="1704"/>
      <c r="L12" s="1700"/>
      <c r="M12" s="1701"/>
      <c r="N12" s="245"/>
      <c r="O12" s="245"/>
      <c r="P12" s="245"/>
      <c r="Q12" s="245"/>
      <c r="R12" s="245"/>
      <c r="S12" s="245"/>
      <c r="T12" s="245"/>
      <c r="U12" s="245"/>
    </row>
    <row r="13" spans="1:22" ht="53.25" customHeight="1" x14ac:dyDescent="0.25">
      <c r="A13" s="1698" t="s">
        <v>2640</v>
      </c>
      <c r="B13" s="1699" t="s">
        <v>2641</v>
      </c>
      <c r="C13" s="1699"/>
      <c r="D13" s="440"/>
      <c r="E13" s="1700">
        <v>209123000</v>
      </c>
      <c r="F13" s="1700"/>
      <c r="G13" s="1701"/>
      <c r="H13" s="1702"/>
      <c r="I13" s="1700"/>
      <c r="J13" s="1703"/>
      <c r="K13" s="1704"/>
      <c r="L13" s="1700"/>
      <c r="M13" s="1701"/>
      <c r="N13" s="245"/>
      <c r="O13" s="245"/>
      <c r="P13" s="245"/>
      <c r="Q13" s="245"/>
      <c r="R13" s="245"/>
      <c r="S13" s="245"/>
      <c r="T13" s="245"/>
      <c r="U13" s="245"/>
    </row>
    <row r="14" spans="1:22" x14ac:dyDescent="0.25">
      <c r="A14" s="1698"/>
      <c r="B14" s="1699"/>
      <c r="C14" s="1699"/>
      <c r="D14" s="440"/>
      <c r="E14" s="1700"/>
      <c r="F14" s="1700"/>
      <c r="G14" s="1701"/>
      <c r="H14" s="1702"/>
      <c r="I14" s="1700"/>
      <c r="J14" s="1703"/>
      <c r="K14" s="1704"/>
      <c r="L14" s="1700"/>
      <c r="M14" s="1701"/>
      <c r="N14" s="245"/>
      <c r="O14" s="245"/>
      <c r="P14" s="245"/>
      <c r="Q14" s="245"/>
      <c r="R14" s="245"/>
      <c r="S14" s="245"/>
      <c r="T14" s="245"/>
      <c r="U14" s="245"/>
    </row>
    <row r="15" spans="1:22" x14ac:dyDescent="0.25">
      <c r="A15" s="1698"/>
      <c r="B15" s="1699"/>
      <c r="C15" s="1699"/>
      <c r="D15" s="440"/>
      <c r="E15" s="1700"/>
      <c r="F15" s="1700"/>
      <c r="G15" s="1701"/>
      <c r="H15" s="1702"/>
      <c r="I15" s="1700"/>
      <c r="J15" s="1703"/>
      <c r="K15" s="1704"/>
      <c r="L15" s="1700"/>
      <c r="M15" s="1701"/>
      <c r="N15" s="245"/>
      <c r="O15" s="245"/>
      <c r="P15" s="245"/>
      <c r="Q15" s="245"/>
      <c r="R15" s="245"/>
      <c r="S15" s="245"/>
      <c r="T15" s="245"/>
      <c r="U15" s="245"/>
    </row>
    <row r="16" spans="1:22" x14ac:dyDescent="0.25">
      <c r="A16" s="1698"/>
      <c r="B16" s="1699"/>
      <c r="C16" s="1699"/>
      <c r="D16" s="440"/>
      <c r="E16" s="1700">
        <v>0</v>
      </c>
      <c r="F16" s="1700"/>
      <c r="G16" s="1701"/>
      <c r="H16" s="1702"/>
      <c r="I16" s="1700"/>
      <c r="J16" s="1703"/>
      <c r="K16" s="1704"/>
      <c r="L16" s="1700"/>
      <c r="M16" s="1701"/>
      <c r="N16" s="245"/>
      <c r="O16" s="245"/>
      <c r="P16" s="245"/>
      <c r="Q16" s="245"/>
      <c r="R16" s="245"/>
      <c r="S16" s="245"/>
      <c r="T16" s="245"/>
      <c r="U16" s="245"/>
    </row>
    <row r="17" spans="1:21" ht="25.5" x14ac:dyDescent="0.25">
      <c r="A17" s="1698" t="s">
        <v>1547</v>
      </c>
      <c r="B17" s="1699" t="s">
        <v>2642</v>
      </c>
      <c r="C17" s="1699"/>
      <c r="D17" s="440"/>
      <c r="E17" s="1700">
        <v>171746743</v>
      </c>
      <c r="F17" s="1700">
        <v>510801536</v>
      </c>
      <c r="G17" s="1701">
        <v>501824726.47000003</v>
      </c>
      <c r="H17" s="1702">
        <v>80777715.357999995</v>
      </c>
      <c r="I17" s="1700">
        <v>108588299.958</v>
      </c>
      <c r="J17" s="1703">
        <v>108588299.958</v>
      </c>
      <c r="K17" s="1704">
        <v>299785076.79000002</v>
      </c>
      <c r="L17" s="1700">
        <v>317472396.32060999</v>
      </c>
      <c r="M17" s="1701">
        <v>335250850.51456398</v>
      </c>
      <c r="N17" s="245"/>
      <c r="O17" s="245"/>
      <c r="P17" s="245"/>
      <c r="Q17" s="245"/>
      <c r="R17" s="245"/>
      <c r="S17" s="245"/>
      <c r="T17" s="245"/>
      <c r="U17" s="245"/>
    </row>
    <row r="18" spans="1:21" x14ac:dyDescent="0.25">
      <c r="A18" s="1698"/>
      <c r="B18" s="1699"/>
      <c r="C18" s="1699"/>
      <c r="D18" s="440"/>
      <c r="E18" s="1700"/>
      <c r="F18" s="1700"/>
      <c r="G18" s="1701"/>
      <c r="H18" s="1702"/>
      <c r="I18" s="1700"/>
      <c r="J18" s="1703"/>
      <c r="K18" s="1704"/>
      <c r="L18" s="1700"/>
      <c r="M18" s="1701"/>
      <c r="N18" s="245"/>
      <c r="O18" s="245"/>
      <c r="P18" s="245"/>
      <c r="Q18" s="245"/>
      <c r="R18" s="245"/>
      <c r="S18" s="245"/>
      <c r="T18" s="245"/>
      <c r="U18" s="245"/>
    </row>
    <row r="19" spans="1:21" x14ac:dyDescent="0.25">
      <c r="A19" s="1698"/>
      <c r="B19" s="1699"/>
      <c r="C19" s="1699"/>
      <c r="D19" s="440"/>
      <c r="E19" s="1700"/>
      <c r="F19" s="1700"/>
      <c r="G19" s="1701"/>
      <c r="H19" s="1702"/>
      <c r="I19" s="1700"/>
      <c r="J19" s="1703"/>
      <c r="K19" s="1704"/>
      <c r="L19" s="1700"/>
      <c r="M19" s="1701"/>
      <c r="N19" s="245"/>
      <c r="O19" s="245"/>
      <c r="P19" s="245"/>
      <c r="Q19" s="245"/>
      <c r="R19" s="245"/>
      <c r="S19" s="245"/>
      <c r="T19" s="245"/>
      <c r="U19" s="245"/>
    </row>
    <row r="20" spans="1:21" x14ac:dyDescent="0.25">
      <c r="A20" s="1698"/>
      <c r="B20" s="1699"/>
      <c r="C20" s="1699"/>
      <c r="D20" s="440"/>
      <c r="E20" s="1700"/>
      <c r="F20" s="1700"/>
      <c r="G20" s="1701"/>
      <c r="H20" s="1702"/>
      <c r="I20" s="1700"/>
      <c r="J20" s="1703"/>
      <c r="K20" s="1704"/>
      <c r="L20" s="1700"/>
      <c r="M20" s="1701"/>
      <c r="N20" s="245"/>
      <c r="O20" s="245"/>
      <c r="P20" s="245"/>
      <c r="Q20" s="245"/>
      <c r="R20" s="245"/>
      <c r="S20" s="245"/>
      <c r="T20" s="245"/>
      <c r="U20" s="245"/>
    </row>
    <row r="21" spans="1:21" x14ac:dyDescent="0.25">
      <c r="A21" s="2330" t="s">
        <v>2053</v>
      </c>
      <c r="B21" s="2331"/>
      <c r="C21" s="2332"/>
      <c r="D21" s="440">
        <v>2</v>
      </c>
      <c r="E21" s="2325"/>
      <c r="F21" s="2325"/>
      <c r="G21" s="2326"/>
      <c r="H21" s="2327"/>
      <c r="I21" s="2325"/>
      <c r="J21" s="2328"/>
      <c r="K21" s="2329"/>
      <c r="L21" s="2325"/>
      <c r="M21" s="2326"/>
      <c r="N21" s="245"/>
      <c r="O21" s="245"/>
      <c r="P21" s="245"/>
      <c r="Q21" s="245"/>
      <c r="R21" s="245"/>
      <c r="S21" s="245"/>
      <c r="T21" s="245"/>
      <c r="U21" s="245"/>
    </row>
    <row r="22" spans="1:21" ht="12.75" customHeight="1" x14ac:dyDescent="0.25">
      <c r="A22" s="346" t="str">
        <f>'A4-FinPerf RE'!A22</f>
        <v>Total Revenue (excluding capital transfers and contributions)</v>
      </c>
      <c r="B22" s="441"/>
      <c r="C22" s="441"/>
      <c r="D22" s="347">
        <v>1</v>
      </c>
      <c r="E22" s="230">
        <f t="shared" ref="E22:M22" si="0">SUM(E4:E21)</f>
        <v>381529743</v>
      </c>
      <c r="F22" s="230">
        <f t="shared" si="0"/>
        <v>510801536</v>
      </c>
      <c r="G22" s="228">
        <f t="shared" si="0"/>
        <v>501824726.47000003</v>
      </c>
      <c r="H22" s="229">
        <f t="shared" si="0"/>
        <v>473760122.98799998</v>
      </c>
      <c r="I22" s="230">
        <f t="shared" si="0"/>
        <v>501570707.588</v>
      </c>
      <c r="J22" s="231">
        <f t="shared" si="0"/>
        <v>501570707.588</v>
      </c>
      <c r="K22" s="232">
        <f t="shared" si="0"/>
        <v>609076076.78999996</v>
      </c>
      <c r="L22" s="230">
        <f t="shared" si="0"/>
        <v>645011565.32061005</v>
      </c>
      <c r="M22" s="228">
        <f t="shared" si="0"/>
        <v>681132212.97856402</v>
      </c>
    </row>
    <row r="23" spans="1:21" s="708" customFormat="1" x14ac:dyDescent="0.25">
      <c r="A23" s="1228" t="str">
        <f>head27a</f>
        <v>References</v>
      </c>
      <c r="B23" s="1036"/>
      <c r="C23" s="1036"/>
      <c r="D23" s="1033"/>
      <c r="E23" s="1037"/>
      <c r="F23" s="1037"/>
      <c r="G23" s="1037"/>
      <c r="H23" s="1037"/>
      <c r="I23" s="1037"/>
      <c r="J23" s="1037"/>
      <c r="K23" s="1037"/>
      <c r="L23" s="1037"/>
      <c r="M23" s="1037"/>
    </row>
    <row r="24" spans="1:21" s="708" customFormat="1" x14ac:dyDescent="0.25">
      <c r="A24" s="1190" t="str">
        <f>"1. Total revenue must reconcile to "&amp;'Template names'!F103</f>
        <v>1. Total revenue must reconcile to Table A4 Budgeted Financial Performance (revenue and expenditure)</v>
      </c>
      <c r="B24" s="1057"/>
      <c r="C24" s="1057"/>
      <c r="D24" s="1033"/>
      <c r="E24" s="1037"/>
      <c r="F24" s="1036"/>
      <c r="G24" s="1037"/>
      <c r="H24" s="1037"/>
      <c r="I24" s="1037"/>
      <c r="J24" s="1037"/>
      <c r="K24" s="1037"/>
      <c r="L24" s="1037"/>
      <c r="M24" s="1037"/>
    </row>
    <row r="25" spans="1:21" x14ac:dyDescent="0.25">
      <c r="A25" s="149" t="s">
        <v>2054</v>
      </c>
    </row>
    <row r="26" spans="1:21" x14ac:dyDescent="0.25">
      <c r="A26" s="288" t="s">
        <v>971</v>
      </c>
      <c r="B26" s="246"/>
      <c r="C26" s="246"/>
      <c r="D26" s="236"/>
      <c r="E26" s="202">
        <f>E22-'A4-FinPerf RE'!C60</f>
        <v>0</v>
      </c>
      <c r="F26" s="202">
        <f>F22-'A4-FinPerf RE'!D60</f>
        <v>0</v>
      </c>
      <c r="G26" s="255">
        <f>G22-'A4-FinPerf RE'!E60</f>
        <v>0</v>
      </c>
      <c r="H26" s="255">
        <f>H22-'A4-FinPerf RE'!F60</f>
        <v>0</v>
      </c>
      <c r="I26" s="255">
        <f>I22-'A4-FinPerf RE'!G60</f>
        <v>0</v>
      </c>
      <c r="J26" s="255">
        <f>J22-'A4-FinPerf RE'!H60</f>
        <v>0</v>
      </c>
      <c r="K26" s="255">
        <f>K22-'A4-FinPerf RE'!J60</f>
        <v>0</v>
      </c>
      <c r="L26" s="255">
        <f>L22-'A4-FinPerf RE'!K60</f>
        <v>0</v>
      </c>
      <c r="M26" s="255">
        <f>M22-'A4-FinPerf RE'!L60</f>
        <v>0</v>
      </c>
    </row>
    <row r="27" spans="1:21" x14ac:dyDescent="0.25">
      <c r="E27" s="448"/>
    </row>
    <row r="28" spans="1:21" x14ac:dyDescent="0.25">
      <c r="E28" s="448"/>
    </row>
  </sheetData>
  <sheetProtection sheet="1" objects="1" scenarios="1"/>
  <customSheetViews>
    <customSheetView guid="{F50C5479-5CC4-4FD7-8319-543D29E829F0}" showGridLines="0" fitToPage="1">
      <pane xSplit="4" ySplit="3" topLeftCell="E4" activePane="bottomRight" state="frozen"/>
      <selection pane="bottomRight" activeCell="J4" sqref="J4:J20"/>
      <pageMargins left="0" right="0" top="0.78740157480314965" bottom="0.59055118110236227" header="0.51181102362204722" footer="0.39370078740157483"/>
      <printOptions horizontalCentered="1"/>
      <pageSetup paperSize="9" scale="79" orientation="portrait" r:id="rId1"/>
      <headerFooter alignWithMargins="0"/>
    </customSheetView>
  </customSheetViews>
  <mergeCells count="3">
    <mergeCell ref="H2:J2"/>
    <mergeCell ref="K2:M2"/>
    <mergeCell ref="D2:D3"/>
  </mergeCells>
  <phoneticPr fontId="2" type="noConversion"/>
  <printOptions horizontalCentered="1"/>
  <pageMargins left="0" right="0" top="0.78740157480314965" bottom="0.59055118110236227" header="0.51181102362204722" footer="0.39370078740157483"/>
  <pageSetup paperSize="9" scale="79" orientation="portrait"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2"/>
  </sheetPr>
  <dimension ref="A1:Y29"/>
  <sheetViews>
    <sheetView showGridLines="0" zoomScaleNormal="100" workbookViewId="0">
      <pane xSplit="4" ySplit="3" topLeftCell="E18" activePane="bottomRight" state="frozen"/>
      <selection activeCell="F35" sqref="F35"/>
      <selection pane="topRight" activeCell="F35" sqref="F35"/>
      <selection pane="bottomLeft" activeCell="F35" sqref="F35"/>
      <selection pane="bottomRight" activeCell="M7" sqref="M7"/>
    </sheetView>
  </sheetViews>
  <sheetFormatPr defaultRowHeight="12.75" x14ac:dyDescent="0.25"/>
  <cols>
    <col min="1" max="2" width="18.7109375" style="149" customWidth="1"/>
    <col min="3" max="3" width="5.28515625" style="149" customWidth="1"/>
    <col min="4" max="4" width="3" style="247" customWidth="1"/>
    <col min="5" max="13" width="9.28515625" style="149" customWidth="1"/>
    <col min="14" max="14" width="32.7109375" style="149" bestFit="1" customWidth="1"/>
    <col min="15" max="15" width="1.5703125" style="149" customWidth="1"/>
    <col min="16" max="17" width="8" style="149" bestFit="1" customWidth="1"/>
    <col min="18" max="18" width="8.42578125" style="149" bestFit="1" customWidth="1"/>
    <col min="19" max="20" width="8" style="149" bestFit="1" customWidth="1"/>
    <col min="21" max="24" width="8.85546875" style="149" bestFit="1" customWidth="1"/>
    <col min="25" max="26" width="9.85546875" style="149" customWidth="1"/>
    <col min="27" max="16384" width="9.140625" style="149"/>
  </cols>
  <sheetData>
    <row r="1" spans="1:25" ht="13.5" x14ac:dyDescent="0.25">
      <c r="A1" s="147" t="str">
        <f>muni&amp;" - "&amp;TableA5</f>
        <v>MP315 Thembisile Hani - Supporting Table SA5 Reconciliation of IDP strategic objectives and budget (operating expenditure)</v>
      </c>
      <c r="B1" s="147"/>
      <c r="C1" s="147"/>
      <c r="D1" s="147"/>
      <c r="E1" s="147"/>
      <c r="F1" s="147"/>
      <c r="G1" s="147"/>
      <c r="H1" s="147"/>
      <c r="I1" s="147"/>
      <c r="J1" s="147"/>
      <c r="K1" s="147"/>
      <c r="L1" s="147"/>
      <c r="M1" s="147"/>
      <c r="N1" s="246"/>
      <c r="O1" s="246"/>
      <c r="P1" s="246"/>
      <c r="Q1" s="246"/>
    </row>
    <row r="2" spans="1:25" ht="28.5" customHeight="1" x14ac:dyDescent="0.25">
      <c r="A2" s="970" t="s">
        <v>968</v>
      </c>
      <c r="B2" s="979" t="s">
        <v>1338</v>
      </c>
      <c r="C2" s="631" t="s">
        <v>2047</v>
      </c>
      <c r="D2" s="2793" t="str">
        <f>head27</f>
        <v>Ref</v>
      </c>
      <c r="E2" s="145" t="str">
        <f>head1b</f>
        <v>2011/12</v>
      </c>
      <c r="F2" s="150" t="str">
        <f>head1A</f>
        <v>2012/13</v>
      </c>
      <c r="G2" s="146" t="str">
        <f>Head1</f>
        <v>2013/14</v>
      </c>
      <c r="H2" s="2766" t="str">
        <f>Head2</f>
        <v>Current Year 2014/15</v>
      </c>
      <c r="I2" s="2767"/>
      <c r="J2" s="2771"/>
      <c r="K2" s="2763" t="str">
        <f>Head3</f>
        <v>2015/16 Medium Term Revenue &amp; Expenditure Framework</v>
      </c>
      <c r="L2" s="2764"/>
      <c r="M2" s="2765"/>
      <c r="N2" s="246"/>
      <c r="O2" s="246"/>
      <c r="P2" s="246"/>
      <c r="Q2" s="246"/>
    </row>
    <row r="3" spans="1:25" ht="25.5" x14ac:dyDescent="0.25">
      <c r="A3" s="986" t="s">
        <v>662</v>
      </c>
      <c r="B3" s="985"/>
      <c r="C3" s="985"/>
      <c r="D3" s="2799"/>
      <c r="E3" s="388" t="str">
        <f>Head5</f>
        <v>Audited Outcome</v>
      </c>
      <c r="F3" s="389" t="str">
        <f>Head5</f>
        <v>Audited Outcome</v>
      </c>
      <c r="G3" s="390" t="str">
        <f>Head5</f>
        <v>Audited Outcome</v>
      </c>
      <c r="H3" s="299" t="str">
        <f>Head6</f>
        <v>Original Budget</v>
      </c>
      <c r="I3" s="389" t="str">
        <f>Head7</f>
        <v>Adjusted Budget</v>
      </c>
      <c r="J3" s="390" t="str">
        <f>Head8</f>
        <v>Full Year Forecast</v>
      </c>
      <c r="K3" s="299" t="str">
        <f>Head9</f>
        <v>Budget Year 2015/16</v>
      </c>
      <c r="L3" s="389" t="str">
        <f>Head10</f>
        <v>Budget Year +1 2016/17</v>
      </c>
      <c r="M3" s="390" t="str">
        <f>Head11</f>
        <v>Budget Year +2 2017/18</v>
      </c>
      <c r="N3" s="246"/>
      <c r="O3" s="246"/>
      <c r="P3" s="246"/>
      <c r="Q3" s="246"/>
    </row>
    <row r="4" spans="1:25" ht="42.75" customHeight="1" x14ac:dyDescent="0.25">
      <c r="A4" s="1698" t="s">
        <v>2643</v>
      </c>
      <c r="B4" s="1699" t="s">
        <v>2644</v>
      </c>
      <c r="C4" s="1699"/>
      <c r="D4" s="440"/>
      <c r="E4" s="1700">
        <v>43517000</v>
      </c>
      <c r="F4" s="1700">
        <v>51560000</v>
      </c>
      <c r="G4" s="1701"/>
      <c r="H4" s="1702"/>
      <c r="I4" s="1700"/>
      <c r="J4" s="1703"/>
      <c r="K4" s="1704"/>
      <c r="L4" s="1700"/>
      <c r="M4" s="1701"/>
      <c r="N4" s="443"/>
      <c r="O4" s="443"/>
      <c r="P4" s="255"/>
      <c r="Q4" s="255"/>
      <c r="R4" s="255"/>
      <c r="S4" s="255"/>
      <c r="T4" s="255"/>
      <c r="U4" s="255"/>
      <c r="V4" s="255"/>
      <c r="W4" s="255"/>
      <c r="X4" s="255"/>
      <c r="Y4" s="444"/>
    </row>
    <row r="5" spans="1:25" ht="42.75" customHeight="1" x14ac:dyDescent="0.25">
      <c r="A5" s="1698"/>
      <c r="B5" s="1699" t="s">
        <v>2645</v>
      </c>
      <c r="C5" s="1699"/>
      <c r="D5" s="440"/>
      <c r="E5" s="1700">
        <v>10000000</v>
      </c>
      <c r="F5" s="1700">
        <v>0</v>
      </c>
      <c r="G5" s="1701"/>
      <c r="H5" s="1702"/>
      <c r="I5" s="1700"/>
      <c r="J5" s="1703"/>
      <c r="K5" s="1704"/>
      <c r="L5" s="1700"/>
      <c r="M5" s="1701"/>
      <c r="N5" s="445"/>
      <c r="O5" s="445"/>
      <c r="P5" s="255"/>
      <c r="Q5" s="255"/>
      <c r="R5" s="255"/>
      <c r="S5" s="255"/>
      <c r="T5" s="255"/>
      <c r="U5" s="255"/>
      <c r="V5" s="255"/>
      <c r="W5" s="255"/>
      <c r="X5" s="255"/>
    </row>
    <row r="6" spans="1:25" ht="42.75" customHeight="1" x14ac:dyDescent="0.25">
      <c r="A6" s="1698" t="s">
        <v>2646</v>
      </c>
      <c r="B6" s="1699" t="s">
        <v>2647</v>
      </c>
      <c r="C6" s="1699"/>
      <c r="D6" s="440"/>
      <c r="E6" s="1700">
        <v>0</v>
      </c>
      <c r="F6" s="1700">
        <v>0</v>
      </c>
      <c r="G6" s="1701"/>
      <c r="H6" s="1702">
        <v>542203713.77425599</v>
      </c>
      <c r="I6" s="1700">
        <v>360517281.74425602</v>
      </c>
      <c r="J6" s="1703">
        <v>360517281.74425602</v>
      </c>
      <c r="K6" s="1704">
        <v>629943578.63999999</v>
      </c>
      <c r="L6" s="1700">
        <v>667110249.77976</v>
      </c>
      <c r="M6" s="1701">
        <v>704468423.76742697</v>
      </c>
      <c r="N6" s="445"/>
      <c r="O6" s="445"/>
      <c r="P6" s="255"/>
      <c r="Q6" s="255"/>
      <c r="R6" s="255"/>
      <c r="S6" s="255"/>
      <c r="T6" s="255"/>
      <c r="U6" s="255"/>
      <c r="V6" s="255"/>
      <c r="W6" s="255"/>
      <c r="X6" s="255"/>
    </row>
    <row r="7" spans="1:25" ht="42.75" customHeight="1" x14ac:dyDescent="0.25">
      <c r="A7" s="1698"/>
      <c r="B7" s="1699"/>
      <c r="C7" s="1699"/>
      <c r="D7" s="440"/>
      <c r="E7" s="1700">
        <v>57000000</v>
      </c>
      <c r="F7" s="1700">
        <v>74000000</v>
      </c>
      <c r="G7" s="1701"/>
      <c r="H7" s="1702"/>
      <c r="I7" s="1700"/>
      <c r="J7" s="1703"/>
      <c r="K7" s="1704"/>
      <c r="L7" s="1700"/>
      <c r="M7" s="1701"/>
      <c r="N7" s="446"/>
      <c r="O7" s="446"/>
      <c r="P7" s="255"/>
      <c r="Q7" s="255"/>
      <c r="R7" s="255"/>
      <c r="S7" s="255"/>
      <c r="T7" s="255"/>
      <c r="U7" s="255"/>
      <c r="V7" s="255"/>
      <c r="W7" s="255"/>
      <c r="X7" s="255"/>
    </row>
    <row r="8" spans="1:25" ht="42.75" customHeight="1" x14ac:dyDescent="0.25">
      <c r="A8" s="1698"/>
      <c r="B8" s="1699"/>
      <c r="C8" s="1699"/>
      <c r="D8" s="440"/>
      <c r="E8" s="1700">
        <v>6642000</v>
      </c>
      <c r="F8" s="1700">
        <v>8000000</v>
      </c>
      <c r="G8" s="1701"/>
      <c r="H8" s="1702"/>
      <c r="I8" s="1700"/>
      <c r="J8" s="1703"/>
      <c r="K8" s="1704"/>
      <c r="L8" s="1700"/>
      <c r="M8" s="1701"/>
      <c r="N8" s="446"/>
      <c r="O8" s="446"/>
      <c r="P8" s="255"/>
      <c r="Q8" s="255"/>
      <c r="R8" s="255"/>
      <c r="S8" s="255"/>
      <c r="T8" s="255"/>
      <c r="U8" s="255"/>
      <c r="V8" s="255"/>
      <c r="W8" s="255"/>
      <c r="X8" s="255"/>
    </row>
    <row r="9" spans="1:25" ht="42.75" customHeight="1" x14ac:dyDescent="0.25">
      <c r="A9" s="1698"/>
      <c r="B9" s="1699"/>
      <c r="C9" s="1699"/>
      <c r="D9" s="440"/>
      <c r="E9" s="1700">
        <v>0</v>
      </c>
      <c r="F9" s="1700">
        <v>0</v>
      </c>
      <c r="G9" s="1701"/>
      <c r="H9" s="1702"/>
      <c r="I9" s="1700"/>
      <c r="J9" s="1703"/>
      <c r="K9" s="1704"/>
      <c r="L9" s="1700"/>
      <c r="M9" s="1701"/>
      <c r="N9" s="446"/>
      <c r="O9" s="446"/>
      <c r="P9" s="255"/>
      <c r="Q9" s="255"/>
      <c r="R9" s="255"/>
      <c r="S9" s="255"/>
      <c r="T9" s="255"/>
      <c r="U9" s="255"/>
      <c r="V9" s="255"/>
      <c r="W9" s="255"/>
      <c r="X9" s="255"/>
    </row>
    <row r="10" spans="1:25" ht="42.75" customHeight="1" x14ac:dyDescent="0.25">
      <c r="A10" s="1698"/>
      <c r="B10" s="1699"/>
      <c r="C10" s="1699"/>
      <c r="D10" s="440"/>
      <c r="E10" s="1700">
        <v>0</v>
      </c>
      <c r="F10" s="1700">
        <v>13975000</v>
      </c>
      <c r="G10" s="1701"/>
      <c r="H10" s="1702"/>
      <c r="I10" s="1700"/>
      <c r="J10" s="1703"/>
      <c r="K10" s="1704"/>
      <c r="L10" s="1700"/>
      <c r="M10" s="1701"/>
      <c r="N10" s="246"/>
      <c r="O10" s="246"/>
      <c r="P10" s="255"/>
      <c r="Q10" s="255"/>
      <c r="R10" s="255"/>
      <c r="S10" s="255"/>
      <c r="T10" s="255"/>
      <c r="U10" s="255"/>
      <c r="V10" s="255"/>
      <c r="W10" s="255"/>
      <c r="X10" s="255"/>
    </row>
    <row r="11" spans="1:25" ht="42.75" customHeight="1" x14ac:dyDescent="0.25">
      <c r="A11" s="1698"/>
      <c r="B11" s="1699"/>
      <c r="C11" s="1699"/>
      <c r="D11" s="440"/>
      <c r="E11" s="1700">
        <v>250144885</v>
      </c>
      <c r="F11" s="1700">
        <v>332776835</v>
      </c>
      <c r="G11" s="1701">
        <v>634171173</v>
      </c>
      <c r="H11" s="1702"/>
      <c r="I11" s="1700"/>
      <c r="J11" s="1703"/>
      <c r="K11" s="1704"/>
      <c r="L11" s="1700"/>
      <c r="M11" s="1701"/>
      <c r="N11" s="246"/>
      <c r="O11" s="246"/>
      <c r="P11" s="255"/>
      <c r="Q11" s="255"/>
      <c r="R11" s="255"/>
      <c r="S11" s="255"/>
      <c r="T11" s="255"/>
      <c r="U11" s="255"/>
      <c r="V11" s="255"/>
      <c r="W11" s="255"/>
      <c r="X11" s="255"/>
    </row>
    <row r="12" spans="1:25" ht="42.75" customHeight="1" x14ac:dyDescent="0.25">
      <c r="A12" s="1698"/>
      <c r="B12" s="1699"/>
      <c r="C12" s="1699"/>
      <c r="D12" s="440"/>
      <c r="E12" s="1700"/>
      <c r="F12" s="1700"/>
      <c r="G12" s="1701"/>
      <c r="H12" s="1702"/>
      <c r="I12" s="1700"/>
      <c r="J12" s="1703"/>
      <c r="K12" s="1704"/>
      <c r="L12" s="1700"/>
      <c r="M12" s="1701"/>
      <c r="N12" s="246"/>
      <c r="O12" s="246"/>
      <c r="P12" s="255"/>
      <c r="Q12" s="255"/>
      <c r="R12" s="255"/>
      <c r="S12" s="255"/>
      <c r="T12" s="255"/>
      <c r="U12" s="255"/>
      <c r="V12" s="255"/>
      <c r="W12" s="255"/>
      <c r="X12" s="255"/>
    </row>
    <row r="13" spans="1:25" ht="42.75" customHeight="1" x14ac:dyDescent="0.25">
      <c r="A13" s="1698"/>
      <c r="B13" s="1699"/>
      <c r="C13" s="1699"/>
      <c r="D13" s="440"/>
      <c r="E13" s="1700"/>
      <c r="F13" s="1700"/>
      <c r="G13" s="1701"/>
      <c r="H13" s="1702"/>
      <c r="I13" s="1700"/>
      <c r="J13" s="1703"/>
      <c r="K13" s="1704"/>
      <c r="L13" s="1700"/>
      <c r="M13" s="1701"/>
      <c r="N13" s="246"/>
      <c r="O13" s="246"/>
      <c r="P13" s="202"/>
      <c r="Q13" s="202"/>
      <c r="R13" s="202"/>
      <c r="S13" s="202"/>
      <c r="T13" s="202"/>
      <c r="U13" s="202"/>
      <c r="V13" s="202"/>
      <c r="W13" s="202"/>
      <c r="X13" s="202"/>
    </row>
    <row r="14" spans="1:25" ht="42.75" customHeight="1" x14ac:dyDescent="0.25">
      <c r="A14" s="1698"/>
      <c r="B14" s="1699"/>
      <c r="C14" s="1699"/>
      <c r="D14" s="440"/>
      <c r="E14" s="1700"/>
      <c r="F14" s="1700"/>
      <c r="G14" s="1701"/>
      <c r="H14" s="1702"/>
      <c r="I14" s="1700"/>
      <c r="J14" s="1703"/>
      <c r="K14" s="1704"/>
      <c r="L14" s="1700"/>
      <c r="M14" s="1701"/>
      <c r="N14" s="246"/>
      <c r="O14" s="246"/>
      <c r="P14" s="255"/>
      <c r="Q14" s="255"/>
      <c r="R14" s="255"/>
      <c r="S14" s="255"/>
      <c r="T14" s="255"/>
      <c r="U14" s="255"/>
      <c r="V14" s="255"/>
      <c r="W14" s="255"/>
      <c r="X14" s="255"/>
    </row>
    <row r="15" spans="1:25" ht="42.75" customHeight="1" x14ac:dyDescent="0.25">
      <c r="A15" s="1698"/>
      <c r="B15" s="1699"/>
      <c r="C15" s="1699"/>
      <c r="D15" s="440"/>
      <c r="E15" s="1700"/>
      <c r="F15" s="1700"/>
      <c r="G15" s="1701"/>
      <c r="H15" s="1702"/>
      <c r="I15" s="1700"/>
      <c r="J15" s="1703"/>
      <c r="K15" s="1704"/>
      <c r="L15" s="1700"/>
      <c r="M15" s="1701"/>
      <c r="N15" s="246"/>
      <c r="O15" s="246"/>
      <c r="P15" s="246"/>
      <c r="Q15" s="246"/>
    </row>
    <row r="16" spans="1:25" ht="42.75" customHeight="1" x14ac:dyDescent="0.25">
      <c r="A16" s="1698"/>
      <c r="B16" s="1699"/>
      <c r="C16" s="1699"/>
      <c r="D16" s="440"/>
      <c r="E16" s="1700"/>
      <c r="F16" s="1700"/>
      <c r="G16" s="1701"/>
      <c r="H16" s="1702"/>
      <c r="I16" s="1700"/>
      <c r="J16" s="1703"/>
      <c r="K16" s="1704"/>
      <c r="L16" s="1700"/>
      <c r="M16" s="1701"/>
      <c r="N16" s="246"/>
      <c r="O16" s="246"/>
      <c r="P16" s="246"/>
      <c r="Q16" s="246"/>
    </row>
    <row r="17" spans="1:17" ht="42.75" customHeight="1" x14ac:dyDescent="0.25">
      <c r="A17" s="1698"/>
      <c r="B17" s="1699"/>
      <c r="C17" s="1699"/>
      <c r="D17" s="440"/>
      <c r="E17" s="1700"/>
      <c r="F17" s="1700"/>
      <c r="G17" s="1701"/>
      <c r="H17" s="1702"/>
      <c r="I17" s="1700"/>
      <c r="J17" s="1703"/>
      <c r="K17" s="1704"/>
      <c r="L17" s="1700"/>
      <c r="M17" s="1701"/>
      <c r="N17" s="246"/>
      <c r="O17" s="246"/>
      <c r="P17" s="246"/>
      <c r="Q17" s="246"/>
    </row>
    <row r="18" spans="1:17" ht="42.75" customHeight="1" x14ac:dyDescent="0.25">
      <c r="A18" s="1698"/>
      <c r="B18" s="1699"/>
      <c r="C18" s="1699"/>
      <c r="D18" s="440"/>
      <c r="E18" s="1700"/>
      <c r="F18" s="1700"/>
      <c r="G18" s="1701"/>
      <c r="H18" s="1702"/>
      <c r="I18" s="1700"/>
      <c r="J18" s="1703"/>
      <c r="K18" s="1704"/>
      <c r="L18" s="1700"/>
      <c r="M18" s="1701"/>
      <c r="N18" s="246"/>
      <c r="O18" s="246"/>
      <c r="P18" s="246"/>
      <c r="Q18" s="246"/>
    </row>
    <row r="19" spans="1:17" ht="42.75" customHeight="1" x14ac:dyDescent="0.25">
      <c r="A19" s="1698"/>
      <c r="B19" s="1699"/>
      <c r="C19" s="1699"/>
      <c r="D19" s="440"/>
      <c r="E19" s="1700"/>
      <c r="F19" s="1700"/>
      <c r="G19" s="1701"/>
      <c r="H19" s="1702"/>
      <c r="I19" s="1700"/>
      <c r="J19" s="1703"/>
      <c r="K19" s="1704"/>
      <c r="L19" s="1700"/>
      <c r="M19" s="1701"/>
      <c r="N19" s="246"/>
      <c r="O19" s="246"/>
      <c r="P19" s="246"/>
      <c r="Q19" s="246"/>
    </row>
    <row r="20" spans="1:17" ht="42.75" customHeight="1" x14ac:dyDescent="0.25">
      <c r="A20" s="1698"/>
      <c r="B20" s="1699"/>
      <c r="C20" s="1699"/>
      <c r="D20" s="440"/>
      <c r="E20" s="1700"/>
      <c r="F20" s="1700"/>
      <c r="G20" s="1701"/>
      <c r="H20" s="1702"/>
      <c r="I20" s="1700"/>
      <c r="J20" s="1703"/>
      <c r="K20" s="1704"/>
      <c r="L20" s="1700"/>
      <c r="M20" s="1701"/>
      <c r="N20" s="246"/>
      <c r="O20" s="246"/>
      <c r="P20" s="246"/>
      <c r="Q20" s="246"/>
    </row>
    <row r="21" spans="1:17" ht="42.75" customHeight="1" x14ac:dyDescent="0.25">
      <c r="A21" s="1698"/>
      <c r="B21" s="1699"/>
      <c r="C21" s="1699"/>
      <c r="D21" s="440"/>
      <c r="E21" s="1700"/>
      <c r="F21" s="1700"/>
      <c r="G21" s="1701"/>
      <c r="H21" s="1702"/>
      <c r="I21" s="1700"/>
      <c r="J21" s="1703"/>
      <c r="K21" s="1704"/>
      <c r="L21" s="1700"/>
      <c r="M21" s="1701"/>
      <c r="N21" s="246"/>
      <c r="O21" s="246"/>
      <c r="P21" s="246"/>
      <c r="Q21" s="246"/>
    </row>
    <row r="22" spans="1:17" ht="12.75" customHeight="1" x14ac:dyDescent="0.25">
      <c r="A22" s="2335" t="s">
        <v>2053</v>
      </c>
      <c r="B22" s="2331"/>
      <c r="C22" s="2332"/>
      <c r="D22" s="440"/>
      <c r="E22" s="2325"/>
      <c r="F22" s="2325"/>
      <c r="G22" s="2326"/>
      <c r="H22" s="2327"/>
      <c r="I22" s="2325"/>
      <c r="J22" s="2328"/>
      <c r="K22" s="2329"/>
      <c r="L22" s="2325"/>
      <c r="M22" s="2326"/>
      <c r="N22" s="246"/>
      <c r="O22" s="246"/>
      <c r="P22" s="246"/>
      <c r="Q22" s="246"/>
    </row>
    <row r="23" spans="1:17" x14ac:dyDescent="0.25">
      <c r="A23" s="346" t="str">
        <f>'A4-FinPerf RE'!A36</f>
        <v>Total Expenditure</v>
      </c>
      <c r="B23" s="2333"/>
      <c r="C23" s="2334"/>
      <c r="D23" s="347">
        <v>1</v>
      </c>
      <c r="E23" s="230">
        <f t="shared" ref="E23:M23" si="0">SUM(E4:E22)</f>
        <v>367303885</v>
      </c>
      <c r="F23" s="230">
        <f t="shared" si="0"/>
        <v>480311835</v>
      </c>
      <c r="G23" s="228">
        <f t="shared" si="0"/>
        <v>634171173</v>
      </c>
      <c r="H23" s="229">
        <f t="shared" si="0"/>
        <v>542203713.77425599</v>
      </c>
      <c r="I23" s="230">
        <f t="shared" si="0"/>
        <v>360517281.74425602</v>
      </c>
      <c r="J23" s="231">
        <f t="shared" si="0"/>
        <v>360517281.74425602</v>
      </c>
      <c r="K23" s="232">
        <f t="shared" si="0"/>
        <v>629943578.63999999</v>
      </c>
      <c r="L23" s="230">
        <f t="shared" si="0"/>
        <v>667110249.77976</v>
      </c>
      <c r="M23" s="228">
        <f t="shared" si="0"/>
        <v>704468423.76742697</v>
      </c>
      <c r="N23" s="246"/>
      <c r="O23" s="246"/>
      <c r="P23" s="246"/>
      <c r="Q23" s="246"/>
    </row>
    <row r="24" spans="1:17" s="708" customFormat="1" x14ac:dyDescent="0.25">
      <c r="A24" s="1228" t="str">
        <f>head27a</f>
        <v>References</v>
      </c>
      <c r="B24" s="1036"/>
      <c r="C24" s="1036"/>
      <c r="D24" s="1033"/>
      <c r="E24" s="1037"/>
      <c r="F24" s="1037"/>
      <c r="G24" s="1037"/>
      <c r="H24" s="1037"/>
      <c r="I24" s="1037"/>
      <c r="J24" s="1037"/>
      <c r="K24" s="1037"/>
      <c r="L24" s="1037"/>
      <c r="M24" s="1037"/>
    </row>
    <row r="25" spans="1:17" s="708" customFormat="1" x14ac:dyDescent="0.25">
      <c r="A25" s="1190" t="str">
        <f>"1. Total expenditure must reconcile to "&amp;'Template names'!F103</f>
        <v>1. Total expenditure must reconcile to Table A4 Budgeted Financial Performance (revenue and expenditure)</v>
      </c>
      <c r="B25" s="1064"/>
      <c r="C25" s="1064"/>
      <c r="D25" s="1033"/>
      <c r="E25" s="1036"/>
      <c r="F25" s="1036"/>
      <c r="G25" s="1037"/>
      <c r="H25" s="1037"/>
      <c r="I25" s="1037"/>
      <c r="J25" s="1037"/>
      <c r="K25" s="1037"/>
      <c r="L25" s="1037"/>
      <c r="M25" s="1037"/>
    </row>
    <row r="26" spans="1:17" s="708" customFormat="1" x14ac:dyDescent="0.25">
      <c r="A26" s="708" t="s">
        <v>2054</v>
      </c>
    </row>
    <row r="27" spans="1:17" x14ac:dyDescent="0.25">
      <c r="A27" s="1259" t="s">
        <v>972</v>
      </c>
      <c r="B27" s="1039"/>
      <c r="C27" s="1039"/>
      <c r="D27" s="1038"/>
      <c r="E27" s="1409">
        <f>E23-'A4-FinPerf RE'!C36</f>
        <v>0</v>
      </c>
      <c r="F27" s="1409">
        <f>F23-'A4-FinPerf RE'!D36</f>
        <v>0</v>
      </c>
      <c r="G27" s="1410">
        <f>G23-'A4-FinPerf RE'!E36</f>
        <v>0</v>
      </c>
      <c r="H27" s="1410">
        <f>H23-'A4-FinPerf RE'!F36</f>
        <v>0</v>
      </c>
      <c r="I27" s="1410">
        <f>I23-'A4-FinPerf RE'!G36</f>
        <v>0</v>
      </c>
      <c r="J27" s="1410">
        <f>J23-'A4-FinPerf RE'!H36</f>
        <v>0</v>
      </c>
      <c r="K27" s="1410">
        <f>K23-'A4-FinPerf RE'!J36</f>
        <v>0</v>
      </c>
      <c r="L27" s="1410">
        <f>L23-'A4-FinPerf RE'!K36</f>
        <v>0</v>
      </c>
      <c r="M27" s="1410">
        <f>M23-'A4-FinPerf RE'!L36</f>
        <v>0</v>
      </c>
    </row>
    <row r="28" spans="1:17" x14ac:dyDescent="0.25">
      <c r="E28" s="448"/>
    </row>
    <row r="29" spans="1:17" x14ac:dyDescent="0.25">
      <c r="E29" s="448"/>
    </row>
  </sheetData>
  <sheetProtection sheet="1" objects="1" scenarios="1"/>
  <customSheetViews>
    <customSheetView guid="{F50C5479-5CC4-4FD7-8319-543D29E829F0}" showGridLines="0" fitToPage="1">
      <pane xSplit="4" ySplit="3" topLeftCell="E4" activePane="bottomRight" state="frozen"/>
      <selection pane="bottomRight" activeCell="H6" sqref="H6"/>
      <pageMargins left="0" right="0" top="0.78740157480314965" bottom="0.59055118110236227" header="0.51181102362204722" footer="0.41"/>
      <printOptions horizontalCentered="1"/>
      <pageSetup paperSize="9" scale="79" orientation="portrait" r:id="rId1"/>
      <headerFooter alignWithMargins="0"/>
    </customSheetView>
  </customSheetViews>
  <mergeCells count="3">
    <mergeCell ref="H2:J2"/>
    <mergeCell ref="K2:M2"/>
    <mergeCell ref="D2:D3"/>
  </mergeCells>
  <phoneticPr fontId="2" type="noConversion"/>
  <printOptions horizontalCentered="1"/>
  <pageMargins left="0" right="0" top="0.78740157480314965" bottom="0.59055118110236227" header="0.51181102362204722" footer="0.39370078740157483"/>
  <pageSetup paperSize="9" scale="75" orientation="portrait"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2"/>
    <pageSetUpPr fitToPage="1"/>
  </sheetPr>
  <dimension ref="A1:X28"/>
  <sheetViews>
    <sheetView showGridLines="0" zoomScaleNormal="100" workbookViewId="0">
      <pane xSplit="4" ySplit="3" topLeftCell="E16" activePane="bottomRight" state="frozen"/>
      <selection activeCell="F35" sqref="F35"/>
      <selection pane="topRight" activeCell="F35" sqref="F35"/>
      <selection pane="bottomLeft" activeCell="F35" sqref="F35"/>
      <selection pane="bottomRight" activeCell="G12" sqref="G12"/>
    </sheetView>
  </sheetViews>
  <sheetFormatPr defaultRowHeight="12.75" x14ac:dyDescent="0.25"/>
  <cols>
    <col min="1" max="2" width="18.7109375" style="149" customWidth="1"/>
    <col min="3" max="3" width="4.42578125" style="149" customWidth="1"/>
    <col min="4" max="4" width="3" style="247" customWidth="1"/>
    <col min="5" max="13" width="9.28515625" style="149" customWidth="1"/>
    <col min="14" max="14" width="32.7109375" style="149" bestFit="1" customWidth="1"/>
    <col min="15" max="15" width="1.5703125" style="149" customWidth="1"/>
    <col min="16" max="20" width="7.85546875" style="149" bestFit="1" customWidth="1"/>
    <col min="21" max="24" width="8.7109375" style="149" bestFit="1" customWidth="1"/>
    <col min="25" max="26" width="9.85546875" style="149" customWidth="1"/>
    <col min="27" max="16384" width="9.140625" style="149"/>
  </cols>
  <sheetData>
    <row r="1" spans="1:24" ht="13.5" x14ac:dyDescent="0.25">
      <c r="A1" s="147" t="str">
        <f>muni&amp;" - "&amp;TableA6</f>
        <v>MP315 Thembisile Hani - Supporting Table SA6 Reconciliation of IDP strategic objectives and budget (capital expenditure)</v>
      </c>
      <c r="B1" s="147"/>
      <c r="C1" s="147"/>
      <c r="D1" s="147"/>
      <c r="E1" s="147"/>
      <c r="F1" s="147"/>
      <c r="G1" s="147"/>
      <c r="H1" s="147"/>
      <c r="I1" s="147"/>
      <c r="J1" s="147"/>
      <c r="K1" s="147"/>
      <c r="L1" s="147"/>
      <c r="M1" s="147"/>
      <c r="N1" s="246"/>
      <c r="O1" s="246"/>
      <c r="P1" s="246"/>
      <c r="Q1" s="246"/>
    </row>
    <row r="2" spans="1:24" ht="28.5" customHeight="1" x14ac:dyDescent="0.25">
      <c r="A2" s="970" t="s">
        <v>968</v>
      </c>
      <c r="B2" s="979" t="s">
        <v>1338</v>
      </c>
      <c r="C2" s="631" t="s">
        <v>932</v>
      </c>
      <c r="D2" s="2793" t="str">
        <f>head27</f>
        <v>Ref</v>
      </c>
      <c r="E2" s="145" t="str">
        <f>head1b</f>
        <v>2011/12</v>
      </c>
      <c r="F2" s="150" t="str">
        <f>head1A</f>
        <v>2012/13</v>
      </c>
      <c r="G2" s="146" t="str">
        <f>Head1</f>
        <v>2013/14</v>
      </c>
      <c r="H2" s="2766" t="str">
        <f>Head2</f>
        <v>Current Year 2014/15</v>
      </c>
      <c r="I2" s="2767"/>
      <c r="J2" s="2771"/>
      <c r="K2" s="2763" t="str">
        <f>Head3</f>
        <v>2015/16 Medium Term Revenue &amp; Expenditure Framework</v>
      </c>
      <c r="L2" s="2764"/>
      <c r="M2" s="2765"/>
      <c r="N2" s="246"/>
      <c r="O2" s="246"/>
      <c r="P2" s="246"/>
      <c r="Q2" s="246"/>
    </row>
    <row r="3" spans="1:24" ht="25.5" x14ac:dyDescent="0.25">
      <c r="A3" s="986" t="s">
        <v>662</v>
      </c>
      <c r="B3" s="985"/>
      <c r="C3" s="985"/>
      <c r="D3" s="2799"/>
      <c r="E3" s="388" t="str">
        <f>Head5</f>
        <v>Audited Outcome</v>
      </c>
      <c r="F3" s="389" t="str">
        <f>Head5</f>
        <v>Audited Outcome</v>
      </c>
      <c r="G3" s="390" t="str">
        <f>Head5</f>
        <v>Audited Outcome</v>
      </c>
      <c r="H3" s="299" t="str">
        <f>Head6</f>
        <v>Original Budget</v>
      </c>
      <c r="I3" s="389" t="str">
        <f>Head7</f>
        <v>Adjusted Budget</v>
      </c>
      <c r="J3" s="390" t="str">
        <f>Head8</f>
        <v>Full Year Forecast</v>
      </c>
      <c r="K3" s="299" t="str">
        <f>Head9</f>
        <v>Budget Year 2015/16</v>
      </c>
      <c r="L3" s="389" t="str">
        <f>Head10</f>
        <v>Budget Year +1 2016/17</v>
      </c>
      <c r="M3" s="390" t="str">
        <f>Head11</f>
        <v>Budget Year +2 2017/18</v>
      </c>
      <c r="N3" s="246"/>
      <c r="O3" s="246"/>
      <c r="P3" s="246"/>
      <c r="Q3" s="246"/>
    </row>
    <row r="4" spans="1:24" ht="42.75" customHeight="1" x14ac:dyDescent="0.25">
      <c r="A4" s="1698"/>
      <c r="B4" s="1699"/>
      <c r="C4" s="1705" t="s">
        <v>406</v>
      </c>
      <c r="D4" s="440"/>
      <c r="E4" s="1700"/>
      <c r="F4" s="1700"/>
      <c r="G4" s="1701"/>
      <c r="H4" s="1702"/>
      <c r="I4" s="1700"/>
      <c r="J4" s="1703"/>
      <c r="K4" s="1704"/>
      <c r="L4" s="1700"/>
      <c r="M4" s="1701"/>
      <c r="N4" s="445"/>
      <c r="O4" s="445"/>
      <c r="P4" s="255"/>
      <c r="Q4" s="255"/>
      <c r="R4" s="255"/>
      <c r="S4" s="255"/>
      <c r="T4" s="255"/>
      <c r="U4" s="255"/>
      <c r="V4" s="255"/>
      <c r="W4" s="255"/>
      <c r="X4" s="255"/>
    </row>
    <row r="5" spans="1:24" ht="42.75" customHeight="1" x14ac:dyDescent="0.25">
      <c r="A5" s="1698"/>
      <c r="B5" s="1699"/>
      <c r="C5" s="1705" t="s">
        <v>1327</v>
      </c>
      <c r="D5" s="440"/>
      <c r="E5" s="1700"/>
      <c r="F5" s="1700"/>
      <c r="G5" s="1701"/>
      <c r="H5" s="1702"/>
      <c r="I5" s="1700"/>
      <c r="J5" s="1703"/>
      <c r="K5" s="1704"/>
      <c r="L5" s="1700"/>
      <c r="M5" s="1701"/>
      <c r="N5" s="445"/>
      <c r="O5" s="445"/>
      <c r="P5" s="255"/>
      <c r="Q5" s="255"/>
      <c r="R5" s="255"/>
      <c r="S5" s="255"/>
      <c r="T5" s="255"/>
      <c r="U5" s="255"/>
      <c r="V5" s="255"/>
      <c r="W5" s="255"/>
      <c r="X5" s="255"/>
    </row>
    <row r="6" spans="1:24" ht="42.75" customHeight="1" x14ac:dyDescent="0.25">
      <c r="A6" s="1698" t="s">
        <v>2648</v>
      </c>
      <c r="B6" s="1699"/>
      <c r="C6" s="1705" t="s">
        <v>495</v>
      </c>
      <c r="D6" s="440"/>
      <c r="E6" s="1700"/>
      <c r="F6" s="1700"/>
      <c r="G6" s="1701"/>
      <c r="H6" s="1702"/>
      <c r="I6" s="1702"/>
      <c r="J6" s="1703"/>
      <c r="K6" s="1704"/>
      <c r="L6" s="1700"/>
      <c r="M6" s="1701"/>
      <c r="N6" s="445"/>
      <c r="O6" s="445"/>
      <c r="P6" s="255"/>
      <c r="Q6" s="255"/>
      <c r="R6" s="255"/>
      <c r="S6" s="255"/>
      <c r="T6" s="255"/>
      <c r="U6" s="255"/>
      <c r="V6" s="255"/>
      <c r="W6" s="255"/>
      <c r="X6" s="255"/>
    </row>
    <row r="7" spans="1:24" ht="42.75" customHeight="1" x14ac:dyDescent="0.25">
      <c r="A7" s="1698" t="s">
        <v>1</v>
      </c>
      <c r="B7" s="1699" t="s">
        <v>2649</v>
      </c>
      <c r="C7" s="1705" t="s">
        <v>544</v>
      </c>
      <c r="D7" s="440"/>
      <c r="E7" s="1700">
        <v>1720000</v>
      </c>
      <c r="F7" s="1700"/>
      <c r="G7" s="1701"/>
      <c r="H7" s="1702">
        <v>10000000</v>
      </c>
      <c r="I7" s="1702">
        <v>10000000</v>
      </c>
      <c r="J7" s="1702">
        <v>10000000</v>
      </c>
      <c r="K7" s="1704"/>
      <c r="L7" s="1700"/>
      <c r="M7" s="1701"/>
      <c r="N7" s="445"/>
      <c r="O7" s="445"/>
      <c r="P7" s="255"/>
      <c r="Q7" s="255"/>
      <c r="R7" s="255"/>
      <c r="S7" s="255"/>
      <c r="T7" s="255"/>
      <c r="U7" s="255"/>
      <c r="V7" s="255"/>
      <c r="W7" s="255"/>
      <c r="X7" s="255"/>
    </row>
    <row r="8" spans="1:24" ht="42.75" customHeight="1" x14ac:dyDescent="0.25">
      <c r="A8" s="1698" t="s">
        <v>150</v>
      </c>
      <c r="B8" s="1699"/>
      <c r="C8" s="1705" t="s">
        <v>1539</v>
      </c>
      <c r="D8" s="440"/>
      <c r="E8" s="1700"/>
      <c r="F8" s="1700"/>
      <c r="G8" s="1701"/>
      <c r="H8" s="1702">
        <v>0</v>
      </c>
      <c r="I8" s="1702">
        <v>0</v>
      </c>
      <c r="J8" s="1702">
        <v>0</v>
      </c>
      <c r="K8" s="1704"/>
      <c r="L8" s="1700"/>
      <c r="M8" s="1701"/>
      <c r="N8" s="445"/>
      <c r="O8" s="445"/>
      <c r="P8" s="255"/>
      <c r="Q8" s="255"/>
      <c r="R8" s="255"/>
      <c r="S8" s="255"/>
      <c r="T8" s="255"/>
      <c r="U8" s="255"/>
      <c r="V8" s="255"/>
      <c r="W8" s="255"/>
      <c r="X8" s="255"/>
    </row>
    <row r="9" spans="1:24" ht="42.75" customHeight="1" x14ac:dyDescent="0.25">
      <c r="A9" s="1698" t="s">
        <v>2650</v>
      </c>
      <c r="B9" s="1699" t="s">
        <v>2651</v>
      </c>
      <c r="C9" s="1705" t="s">
        <v>1540</v>
      </c>
      <c r="D9" s="440"/>
      <c r="E9" s="1700">
        <v>2288964.4500000002</v>
      </c>
      <c r="F9" s="1700"/>
      <c r="G9" s="1701"/>
      <c r="H9" s="1702">
        <v>23280750</v>
      </c>
      <c r="I9" s="1702">
        <v>23280750</v>
      </c>
      <c r="J9" s="1702">
        <v>23280750</v>
      </c>
      <c r="K9" s="1704"/>
      <c r="L9" s="1700"/>
      <c r="M9" s="1701"/>
      <c r="N9" s="309"/>
      <c r="O9" s="309"/>
      <c r="P9" s="255"/>
      <c r="Q9" s="255"/>
      <c r="R9" s="255"/>
      <c r="S9" s="255"/>
      <c r="T9" s="255"/>
      <c r="U9" s="255"/>
      <c r="V9" s="255"/>
      <c r="W9" s="255"/>
      <c r="X9" s="255"/>
    </row>
    <row r="10" spans="1:24" ht="42.75" customHeight="1" x14ac:dyDescent="0.25">
      <c r="A10" s="1698" t="s">
        <v>649</v>
      </c>
      <c r="B10" s="1699" t="s">
        <v>2652</v>
      </c>
      <c r="C10" s="1705" t="s">
        <v>1541</v>
      </c>
      <c r="D10" s="440"/>
      <c r="E10" s="1700">
        <v>13044526</v>
      </c>
      <c r="F10" s="1700"/>
      <c r="G10" s="1701"/>
      <c r="H10" s="1702">
        <v>3000000</v>
      </c>
      <c r="I10" s="1702">
        <v>3000000</v>
      </c>
      <c r="J10" s="1702">
        <v>3000000</v>
      </c>
      <c r="K10" s="1704">
        <v>9157704</v>
      </c>
      <c r="L10" s="1700">
        <f>K10*1.059</f>
        <v>9698008.5360000003</v>
      </c>
      <c r="M10" s="1701">
        <f>L10*1.056</f>
        <v>10241097.014016001</v>
      </c>
      <c r="N10" s="246"/>
      <c r="O10" s="246"/>
      <c r="P10" s="255"/>
      <c r="Q10" s="255"/>
      <c r="R10" s="255"/>
      <c r="S10" s="255"/>
      <c r="T10" s="255"/>
      <c r="U10" s="255"/>
      <c r="V10" s="255"/>
      <c r="W10" s="255"/>
      <c r="X10" s="255"/>
    </row>
    <row r="11" spans="1:24" ht="42.75" customHeight="1" x14ac:dyDescent="0.25">
      <c r="A11" s="1698" t="s">
        <v>2653</v>
      </c>
      <c r="B11" s="1699" t="s">
        <v>2822</v>
      </c>
      <c r="C11" s="1705" t="s">
        <v>557</v>
      </c>
      <c r="D11" s="440"/>
      <c r="E11" s="1700">
        <v>17282662.620000001</v>
      </c>
      <c r="F11" s="1700"/>
      <c r="G11" s="1701">
        <v>51312835.369999997</v>
      </c>
      <c r="H11" s="1702">
        <v>69539001</v>
      </c>
      <c r="I11" s="1702">
        <v>70059752.910000026</v>
      </c>
      <c r="J11" s="1702">
        <v>70059752.910000026</v>
      </c>
      <c r="K11" s="1704">
        <v>62488679</v>
      </c>
      <c r="L11" s="1700">
        <f t="shared" ref="L11:L18" si="0">K11*1.059</f>
        <v>66175511.060999997</v>
      </c>
      <c r="M11" s="1701">
        <f t="shared" ref="M11:M18" si="1">L11*1.056</f>
        <v>69881339.680416003</v>
      </c>
      <c r="N11" s="246"/>
      <c r="O11" s="246"/>
      <c r="P11" s="255"/>
      <c r="Q11" s="255"/>
      <c r="R11" s="255"/>
      <c r="S11" s="255"/>
      <c r="T11" s="255"/>
      <c r="U11" s="255"/>
      <c r="V11" s="255"/>
      <c r="W11" s="255"/>
      <c r="X11" s="255"/>
    </row>
    <row r="12" spans="1:24" ht="42.75" customHeight="1" x14ac:dyDescent="0.25">
      <c r="A12" s="1698"/>
      <c r="B12" s="1699" t="s">
        <v>2823</v>
      </c>
      <c r="C12" s="1705" t="s">
        <v>558</v>
      </c>
      <c r="D12" s="440"/>
      <c r="E12" s="1700"/>
      <c r="F12" s="1700"/>
      <c r="G12" s="1701"/>
      <c r="H12" s="1702"/>
      <c r="I12" s="1702"/>
      <c r="J12" s="1702"/>
      <c r="K12" s="1704">
        <v>32157260</v>
      </c>
      <c r="L12" s="1700">
        <f t="shared" si="0"/>
        <v>34054538.339999996</v>
      </c>
      <c r="M12" s="1701">
        <f t="shared" si="1"/>
        <v>35961592.487039998</v>
      </c>
      <c r="N12" s="246"/>
      <c r="O12" s="246"/>
      <c r="P12" s="255"/>
      <c r="Q12" s="255"/>
      <c r="R12" s="255"/>
      <c r="S12" s="255"/>
      <c r="T12" s="255"/>
      <c r="U12" s="255"/>
      <c r="V12" s="255"/>
      <c r="W12" s="255"/>
      <c r="X12" s="255"/>
    </row>
    <row r="13" spans="1:24" ht="42.75" customHeight="1" x14ac:dyDescent="0.25">
      <c r="A13" s="1698" t="s">
        <v>2654</v>
      </c>
      <c r="B13" s="1699"/>
      <c r="C13" s="1705" t="s">
        <v>933</v>
      </c>
      <c r="D13" s="440"/>
      <c r="E13" s="1700">
        <v>10629846.93</v>
      </c>
      <c r="F13" s="1700"/>
      <c r="G13" s="1701"/>
      <c r="H13" s="1702"/>
      <c r="I13" s="1702"/>
      <c r="J13" s="1702"/>
      <c r="K13" s="1704"/>
      <c r="L13" s="1700">
        <f t="shared" si="0"/>
        <v>0</v>
      </c>
      <c r="M13" s="1701">
        <f t="shared" si="1"/>
        <v>0</v>
      </c>
      <c r="N13" s="246"/>
      <c r="O13" s="246"/>
      <c r="P13" s="202"/>
      <c r="Q13" s="202"/>
      <c r="R13" s="202"/>
      <c r="S13" s="202"/>
      <c r="T13" s="202"/>
      <c r="U13" s="202"/>
      <c r="V13" s="202"/>
      <c r="W13" s="202"/>
      <c r="X13" s="202"/>
    </row>
    <row r="14" spans="1:24" ht="42.75" customHeight="1" x14ac:dyDescent="0.25">
      <c r="A14" s="1698" t="s">
        <v>2655</v>
      </c>
      <c r="B14" s="1699"/>
      <c r="C14" s="1705" t="s">
        <v>934</v>
      </c>
      <c r="D14" s="440"/>
      <c r="E14" s="1700"/>
      <c r="F14" s="1700"/>
      <c r="G14" s="1701"/>
      <c r="H14" s="1702"/>
      <c r="I14" s="1702"/>
      <c r="J14" s="1702"/>
      <c r="K14" s="1704"/>
      <c r="L14" s="1700">
        <f t="shared" si="0"/>
        <v>0</v>
      </c>
      <c r="M14" s="1701">
        <f t="shared" si="1"/>
        <v>0</v>
      </c>
      <c r="N14" s="246"/>
      <c r="O14" s="246"/>
      <c r="P14" s="255"/>
      <c r="Q14" s="255"/>
      <c r="R14" s="255"/>
      <c r="S14" s="255"/>
      <c r="T14" s="255"/>
      <c r="U14" s="255"/>
      <c r="V14" s="255"/>
      <c r="W14" s="255"/>
      <c r="X14" s="255"/>
    </row>
    <row r="15" spans="1:24" ht="42.75" customHeight="1" x14ac:dyDescent="0.25">
      <c r="A15" s="1698" t="s">
        <v>2656</v>
      </c>
      <c r="B15" s="1699"/>
      <c r="C15" s="1705" t="s">
        <v>935</v>
      </c>
      <c r="D15" s="440"/>
      <c r="E15" s="1700"/>
      <c r="F15" s="1700">
        <v>16769034.029999999</v>
      </c>
      <c r="G15" s="1701">
        <v>62337455.630000003</v>
      </c>
      <c r="H15" s="1702"/>
      <c r="I15" s="1702"/>
      <c r="J15" s="1702"/>
      <c r="K15" s="1704"/>
      <c r="L15" s="1700">
        <f t="shared" si="0"/>
        <v>0</v>
      </c>
      <c r="M15" s="1701">
        <f t="shared" si="1"/>
        <v>0</v>
      </c>
      <c r="N15" s="246"/>
      <c r="O15" s="246"/>
      <c r="P15" s="246"/>
      <c r="Q15" s="246"/>
    </row>
    <row r="16" spans="1:24" ht="42.75" customHeight="1" x14ac:dyDescent="0.25">
      <c r="A16" s="1698" t="s">
        <v>2657</v>
      </c>
      <c r="B16" s="1699"/>
      <c r="C16" s="1705" t="s">
        <v>936</v>
      </c>
      <c r="D16" s="440"/>
      <c r="E16" s="1700"/>
      <c r="F16" s="1700"/>
      <c r="G16" s="1701"/>
      <c r="H16" s="1702">
        <v>5000000.63</v>
      </c>
      <c r="I16" s="1702">
        <v>5000000</v>
      </c>
      <c r="J16" s="1702">
        <v>5000000</v>
      </c>
      <c r="K16" s="1704">
        <f>11345492</f>
        <v>11345492</v>
      </c>
      <c r="L16" s="1700">
        <f t="shared" si="0"/>
        <v>12014876.027999999</v>
      </c>
      <c r="M16" s="1701">
        <f t="shared" si="1"/>
        <v>12687709.085568</v>
      </c>
      <c r="N16" s="246"/>
      <c r="O16" s="246"/>
      <c r="P16" s="246"/>
      <c r="Q16" s="246"/>
    </row>
    <row r="17" spans="1:13" ht="42.75" customHeight="1" x14ac:dyDescent="0.25">
      <c r="A17" s="1698" t="s">
        <v>2824</v>
      </c>
      <c r="B17" s="1699"/>
      <c r="C17" s="1705" t="s">
        <v>937</v>
      </c>
      <c r="D17" s="440"/>
      <c r="E17" s="1700"/>
      <c r="F17" s="1700"/>
      <c r="G17" s="1701"/>
      <c r="H17" s="1702"/>
      <c r="I17" s="1702"/>
      <c r="J17" s="1702"/>
      <c r="K17" s="1704">
        <v>90000</v>
      </c>
      <c r="L17" s="1700">
        <f t="shared" si="0"/>
        <v>95310</v>
      </c>
      <c r="M17" s="1701">
        <f t="shared" si="1"/>
        <v>100647.36</v>
      </c>
    </row>
    <row r="18" spans="1:13" ht="42.75" customHeight="1" x14ac:dyDescent="0.25">
      <c r="A18" s="1698" t="s">
        <v>2825</v>
      </c>
      <c r="B18" s="1699"/>
      <c r="C18" s="1705" t="s">
        <v>938</v>
      </c>
      <c r="D18" s="440"/>
      <c r="E18" s="1700"/>
      <c r="F18" s="1700"/>
      <c r="G18" s="1701"/>
      <c r="H18" s="1702"/>
      <c r="I18" s="1702"/>
      <c r="J18" s="1702"/>
      <c r="K18" s="1704">
        <v>1100000</v>
      </c>
      <c r="L18" s="1700">
        <f t="shared" si="0"/>
        <v>1164900</v>
      </c>
      <c r="M18" s="1701">
        <f t="shared" si="1"/>
        <v>1230134.4000000001</v>
      </c>
    </row>
    <row r="19" spans="1:13" ht="42.75" customHeight="1" x14ac:dyDescent="0.25">
      <c r="A19" s="1698"/>
      <c r="B19" s="1699"/>
      <c r="C19" s="1705" t="s">
        <v>939</v>
      </c>
      <c r="D19" s="440"/>
      <c r="E19" s="1700"/>
      <c r="F19" s="1700"/>
      <c r="G19" s="1701"/>
      <c r="H19" s="1702"/>
      <c r="I19" s="1702"/>
      <c r="J19" s="1702"/>
      <c r="K19" s="1704"/>
      <c r="L19" s="1700"/>
      <c r="M19" s="1701"/>
    </row>
    <row r="20" spans="1:13" ht="12.75" customHeight="1" x14ac:dyDescent="0.25">
      <c r="A20" s="2335" t="s">
        <v>2053</v>
      </c>
      <c r="B20" s="2331"/>
      <c r="C20" s="2336"/>
      <c r="D20" s="440">
        <v>3</v>
      </c>
      <c r="E20" s="2325"/>
      <c r="F20" s="2325"/>
      <c r="G20" s="2326"/>
      <c r="H20" s="2327"/>
      <c r="I20" s="2325"/>
      <c r="J20" s="2328"/>
      <c r="K20" s="2329"/>
      <c r="L20" s="2325"/>
      <c r="M20" s="2326"/>
    </row>
    <row r="21" spans="1:13" x14ac:dyDescent="0.25">
      <c r="A21" s="346" t="s">
        <v>598</v>
      </c>
      <c r="B21" s="2333"/>
      <c r="C21" s="2334"/>
      <c r="D21" s="347">
        <v>1</v>
      </c>
      <c r="E21" s="230">
        <f t="shared" ref="E21:M21" si="2">SUM(E4:E20)</f>
        <v>44966000</v>
      </c>
      <c r="F21" s="230">
        <f t="shared" si="2"/>
        <v>16769034.029999999</v>
      </c>
      <c r="G21" s="228">
        <f t="shared" si="2"/>
        <v>113650291</v>
      </c>
      <c r="H21" s="229">
        <f t="shared" si="2"/>
        <v>110819751.63</v>
      </c>
      <c r="I21" s="230">
        <f t="shared" si="2"/>
        <v>111340502.91000003</v>
      </c>
      <c r="J21" s="231">
        <f t="shared" si="2"/>
        <v>111340502.91000003</v>
      </c>
      <c r="K21" s="232">
        <f t="shared" si="2"/>
        <v>116339135</v>
      </c>
      <c r="L21" s="230">
        <f t="shared" si="2"/>
        <v>123203143.965</v>
      </c>
      <c r="M21" s="228">
        <f t="shared" si="2"/>
        <v>130102520.02704</v>
      </c>
    </row>
    <row r="22" spans="1:13" s="708" customFormat="1" x14ac:dyDescent="0.25">
      <c r="A22" s="1228" t="str">
        <f>head27a</f>
        <v>References</v>
      </c>
      <c r="B22" s="1036"/>
      <c r="C22" s="1036"/>
      <c r="D22" s="1033"/>
      <c r="E22" s="1037"/>
      <c r="F22" s="1037"/>
      <c r="G22" s="1037"/>
      <c r="H22" s="1037"/>
      <c r="I22" s="1037"/>
      <c r="J22" s="1037"/>
      <c r="K22" s="1037"/>
      <c r="L22" s="1037"/>
      <c r="M22" s="1037"/>
    </row>
    <row r="23" spans="1:13" s="708" customFormat="1" x14ac:dyDescent="0.25">
      <c r="A23" s="1190" t="s">
        <v>1340</v>
      </c>
      <c r="B23" s="1036"/>
      <c r="C23" s="1036"/>
      <c r="D23" s="1033"/>
      <c r="E23" s="1037"/>
      <c r="F23" s="1037"/>
      <c r="G23" s="1037"/>
      <c r="H23" s="1037"/>
      <c r="I23" s="1037"/>
      <c r="J23" s="1037"/>
      <c r="K23" s="1037"/>
      <c r="L23" s="1037"/>
      <c r="M23" s="1037"/>
    </row>
    <row r="24" spans="1:13" s="708" customFormat="1" x14ac:dyDescent="0.25">
      <c r="A24" s="1190" t="s">
        <v>2052</v>
      </c>
      <c r="B24" s="1057"/>
      <c r="C24" s="1057"/>
      <c r="D24" s="1033"/>
      <c r="E24" s="1036"/>
      <c r="F24" s="1036"/>
      <c r="G24" s="1037"/>
      <c r="H24" s="1037"/>
      <c r="I24" s="1037"/>
      <c r="J24" s="1037"/>
      <c r="K24" s="1037"/>
      <c r="L24" s="1037"/>
      <c r="M24" s="1037"/>
    </row>
    <row r="25" spans="1:13" x14ac:dyDescent="0.25">
      <c r="A25" s="149" t="s">
        <v>2055</v>
      </c>
    </row>
    <row r="26" spans="1:13" x14ac:dyDescent="0.25">
      <c r="A26" s="387" t="s">
        <v>423</v>
      </c>
      <c r="B26" s="387"/>
      <c r="C26" s="387"/>
      <c r="E26" s="447">
        <f>E21-'A5-Capex'!C40</f>
        <v>0</v>
      </c>
      <c r="F26" s="447">
        <f>F21-'A5-Capex'!D40</f>
        <v>0</v>
      </c>
      <c r="G26" s="447">
        <f>G21-'A5-Capex'!E40</f>
        <v>0</v>
      </c>
      <c r="H26" s="447">
        <f>H21-'A5-Capex'!F40</f>
        <v>0</v>
      </c>
      <c r="I26" s="447">
        <f>I21-'A5-Capex'!G40</f>
        <v>0</v>
      </c>
      <c r="J26" s="447">
        <f>J21-'A5-Capex'!H40</f>
        <v>0</v>
      </c>
      <c r="K26" s="447">
        <f>K21-'A5-Capex'!J40</f>
        <v>0</v>
      </c>
      <c r="L26" s="447">
        <f>L21-'A5-Capex'!K40</f>
        <v>0</v>
      </c>
      <c r="M26" s="447">
        <f>M21-'A5-Capex'!L40</f>
        <v>0</v>
      </c>
    </row>
    <row r="27" spans="1:13" x14ac:dyDescent="0.25">
      <c r="E27" s="448"/>
    </row>
    <row r="28" spans="1:13" x14ac:dyDescent="0.25">
      <c r="E28" s="448"/>
    </row>
  </sheetData>
  <sheetProtection sheet="1" objects="1" scenarios="1"/>
  <customSheetViews>
    <customSheetView guid="{F50C5479-5CC4-4FD7-8319-543D29E829F0}" showGridLines="0" fitToPage="1">
      <pane xSplit="4" ySplit="3" topLeftCell="E18" activePane="bottomRight" state="frozen"/>
      <selection pane="bottomRight" activeCell="H26" sqref="H26"/>
      <pageMargins left="0" right="0" top="0.78740157480314965" bottom="0.59055118110236227" header="0.51181102362204722" footer="0.39"/>
      <printOptions horizontalCentered="1"/>
      <pageSetup paperSize="9" scale="80" orientation="portrait" r:id="rId1"/>
      <headerFooter alignWithMargins="0"/>
    </customSheetView>
  </customSheetViews>
  <mergeCells count="3">
    <mergeCell ref="H2:J2"/>
    <mergeCell ref="K2:M2"/>
    <mergeCell ref="D2:D3"/>
  </mergeCells>
  <phoneticPr fontId="2" type="noConversion"/>
  <printOptions horizontalCentered="1"/>
  <pageMargins left="0" right="0" top="0.78740157480314965" bottom="0.59055118110236227" header="0.51181102362204722" footer="0.39"/>
  <pageSetup paperSize="9" scale="80" orientation="portrait"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2"/>
    <pageSetUpPr fitToPage="1"/>
  </sheetPr>
  <dimension ref="A1:K89"/>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E19" sqref="E19"/>
    </sheetView>
  </sheetViews>
  <sheetFormatPr defaultRowHeight="11.25" customHeight="1" x14ac:dyDescent="0.25"/>
  <cols>
    <col min="1" max="1" width="29.28515625" style="149" customWidth="1"/>
    <col min="2" max="2" width="15.7109375" style="149" customWidth="1"/>
    <col min="3" max="5" width="9.28515625" style="149" customWidth="1"/>
    <col min="6" max="9" width="9.28515625" style="2705" customWidth="1"/>
    <col min="10" max="11" width="9.28515625" style="149" customWidth="1"/>
    <col min="12" max="16384" width="9.140625" style="149"/>
  </cols>
  <sheetData>
    <row r="1" spans="1:11" s="179" customFormat="1" ht="12.75" x14ac:dyDescent="0.2">
      <c r="A1" s="147" t="str">
        <f>muni&amp;" - "&amp;TableA7</f>
        <v>MP315 Thembisile Hani - Supporting Table SA7 Measureable performance objectives</v>
      </c>
      <c r="B1" s="147"/>
      <c r="C1" s="147"/>
      <c r="D1" s="147"/>
      <c r="E1" s="147"/>
      <c r="F1" s="2696"/>
      <c r="G1" s="2696"/>
      <c r="H1" s="2696"/>
      <c r="I1" s="2696"/>
      <c r="J1" s="147"/>
      <c r="K1" s="147"/>
    </row>
    <row r="2" spans="1:11" ht="28.5" customHeight="1" x14ac:dyDescent="0.25">
      <c r="A2" s="2802" t="s">
        <v>769</v>
      </c>
      <c r="B2" s="2800" t="s">
        <v>419</v>
      </c>
      <c r="C2" s="145" t="str">
        <f>head1b</f>
        <v>2011/12</v>
      </c>
      <c r="D2" s="150" t="str">
        <f>head1A</f>
        <v>2012/13</v>
      </c>
      <c r="E2" s="146" t="str">
        <f>Head1</f>
        <v>2013/14</v>
      </c>
      <c r="F2" s="2804" t="str">
        <f>Head2</f>
        <v>Current Year 2014/15</v>
      </c>
      <c r="G2" s="2805"/>
      <c r="H2" s="2806"/>
      <c r="I2" s="2763" t="str">
        <f>Head3</f>
        <v>2015/16 Medium Term Revenue &amp; Expenditure Framework</v>
      </c>
      <c r="J2" s="2764"/>
      <c r="K2" s="2765"/>
    </row>
    <row r="3" spans="1:11" ht="25.5" x14ac:dyDescent="0.25">
      <c r="A3" s="2803"/>
      <c r="B3" s="2801"/>
      <c r="C3" s="388" t="str">
        <f>Head5</f>
        <v>Audited Outcome</v>
      </c>
      <c r="D3" s="389" t="str">
        <f>Head5</f>
        <v>Audited Outcome</v>
      </c>
      <c r="E3" s="390" t="str">
        <f>Head5</f>
        <v>Audited Outcome</v>
      </c>
      <c r="F3" s="2697" t="str">
        <f>Head6</f>
        <v>Original Budget</v>
      </c>
      <c r="G3" s="2698" t="str">
        <f>Head7</f>
        <v>Adjusted Budget</v>
      </c>
      <c r="H3" s="2699" t="str">
        <f>Head8</f>
        <v>Full Year Forecast</v>
      </c>
      <c r="I3" s="2697" t="str">
        <f>Head9</f>
        <v>Budget Year 2015/16</v>
      </c>
      <c r="J3" s="389" t="str">
        <f>Head10</f>
        <v>Budget Year +1 2016/17</v>
      </c>
      <c r="K3" s="390" t="str">
        <f>Head11</f>
        <v>Budget Year +2 2017/18</v>
      </c>
    </row>
    <row r="4" spans="1:11" ht="11.25" customHeight="1" x14ac:dyDescent="0.25">
      <c r="A4" s="1519" t="s">
        <v>2826</v>
      </c>
      <c r="B4" s="1706"/>
      <c r="C4" s="1707"/>
      <c r="D4" s="1708"/>
      <c r="E4" s="1708"/>
      <c r="F4" s="2700"/>
      <c r="G4" s="2700"/>
      <c r="H4" s="2701"/>
      <c r="I4" s="2701"/>
      <c r="J4" s="1708"/>
      <c r="K4" s="1708"/>
    </row>
    <row r="5" spans="1:11" ht="11.25" customHeight="1" x14ac:dyDescent="0.25">
      <c r="A5" s="1522" t="s">
        <v>948</v>
      </c>
      <c r="B5" s="1709"/>
      <c r="C5" s="1707"/>
      <c r="D5" s="1708"/>
      <c r="E5" s="1708"/>
      <c r="F5" s="2700"/>
      <c r="G5" s="2700"/>
      <c r="H5" s="2700"/>
      <c r="I5" s="2700"/>
      <c r="J5" s="1708"/>
      <c r="K5" s="1708"/>
    </row>
    <row r="6" spans="1:11" ht="11.25" customHeight="1" x14ac:dyDescent="0.25">
      <c r="A6" s="1523" t="s">
        <v>734</v>
      </c>
      <c r="B6" s="1710"/>
      <c r="C6" s="1707"/>
      <c r="D6" s="1708"/>
      <c r="E6" s="1708"/>
      <c r="F6" s="2700"/>
      <c r="G6" s="2700"/>
      <c r="H6" s="2700"/>
      <c r="I6" s="2700"/>
      <c r="J6" s="1708"/>
      <c r="K6" s="1708"/>
    </row>
    <row r="7" spans="1:11" ht="11.25" customHeight="1" x14ac:dyDescent="0.25">
      <c r="A7" s="1711" t="s">
        <v>2827</v>
      </c>
      <c r="B7" s="1710" t="s">
        <v>2849</v>
      </c>
      <c r="C7" s="1707"/>
      <c r="D7" s="1708"/>
      <c r="E7" s="1708"/>
      <c r="F7" s="2700">
        <v>540</v>
      </c>
      <c r="G7" s="2700">
        <v>540</v>
      </c>
      <c r="H7" s="2700">
        <v>540</v>
      </c>
      <c r="I7" s="2700">
        <v>630</v>
      </c>
      <c r="J7" s="2700"/>
      <c r="K7" s="2700"/>
    </row>
    <row r="8" spans="1:11" ht="11.25" customHeight="1" x14ac:dyDescent="0.25">
      <c r="A8" s="1712" t="s">
        <v>2828</v>
      </c>
      <c r="B8" s="1710" t="s">
        <v>2840</v>
      </c>
      <c r="C8" s="1707"/>
      <c r="D8" s="1708"/>
      <c r="E8" s="1708"/>
      <c r="F8" s="2700">
        <v>22</v>
      </c>
      <c r="G8" s="2700">
        <v>22</v>
      </c>
      <c r="H8" s="2700">
        <v>22</v>
      </c>
      <c r="I8" s="2700">
        <v>57</v>
      </c>
      <c r="J8" s="2700"/>
      <c r="K8" s="2700"/>
    </row>
    <row r="9" spans="1:11" ht="11.25" customHeight="1" x14ac:dyDescent="0.25">
      <c r="A9" s="1523" t="s">
        <v>2829</v>
      </c>
      <c r="B9" s="1713"/>
      <c r="C9" s="1714"/>
      <c r="D9" s="1715"/>
      <c r="E9" s="1715"/>
      <c r="F9" s="2702"/>
      <c r="G9" s="2702"/>
      <c r="H9" s="2702"/>
      <c r="I9" s="2702"/>
      <c r="J9" s="2702"/>
      <c r="K9" s="2702"/>
    </row>
    <row r="10" spans="1:11" ht="11.25" customHeight="1" x14ac:dyDescent="0.25">
      <c r="A10" s="1711" t="s">
        <v>2830</v>
      </c>
      <c r="B10" s="1710" t="s">
        <v>2841</v>
      </c>
      <c r="C10" s="1707"/>
      <c r="D10" s="1708"/>
      <c r="E10" s="1708"/>
      <c r="F10" s="2700">
        <v>2</v>
      </c>
      <c r="G10" s="2700">
        <v>2</v>
      </c>
      <c r="H10" s="2700">
        <v>2</v>
      </c>
      <c r="I10" s="2700"/>
      <c r="J10" s="2700"/>
      <c r="K10" s="2700"/>
    </row>
    <row r="11" spans="1:11" ht="11.25" customHeight="1" x14ac:dyDescent="0.25">
      <c r="A11" s="1712" t="s">
        <v>2831</v>
      </c>
      <c r="B11" s="1710" t="s">
        <v>2842</v>
      </c>
      <c r="C11" s="1707"/>
      <c r="D11" s="1708"/>
      <c r="E11" s="1708"/>
      <c r="F11" s="2700">
        <v>100</v>
      </c>
      <c r="G11" s="2700">
        <v>100</v>
      </c>
      <c r="H11" s="2700">
        <v>100</v>
      </c>
      <c r="I11" s="2700"/>
      <c r="J11" s="2700"/>
      <c r="K11" s="2700"/>
    </row>
    <row r="12" spans="1:11" ht="11.25" customHeight="1" x14ac:dyDescent="0.25">
      <c r="A12" s="1523" t="s">
        <v>948</v>
      </c>
      <c r="B12" s="1713"/>
      <c r="C12" s="1714"/>
      <c r="D12" s="1715"/>
      <c r="E12" s="1715"/>
      <c r="F12" s="2702"/>
      <c r="G12" s="2702"/>
      <c r="H12" s="2702"/>
      <c r="I12" s="2702"/>
      <c r="J12" s="2702"/>
      <c r="K12" s="2702"/>
    </row>
    <row r="13" spans="1:11" ht="11.25" customHeight="1" x14ac:dyDescent="0.25">
      <c r="A13" s="1711" t="s">
        <v>2832</v>
      </c>
      <c r="B13" s="1710" t="s">
        <v>2843</v>
      </c>
      <c r="C13" s="1707"/>
      <c r="D13" s="1708"/>
      <c r="E13" s="1708"/>
      <c r="F13" s="2700">
        <v>73000</v>
      </c>
      <c r="G13" s="2700">
        <v>73000</v>
      </c>
      <c r="H13" s="2700">
        <v>73000</v>
      </c>
      <c r="I13" s="2700"/>
      <c r="J13" s="2700"/>
      <c r="K13" s="2700"/>
    </row>
    <row r="14" spans="1:11" ht="11.25" customHeight="1" x14ac:dyDescent="0.25">
      <c r="A14" s="1712" t="s">
        <v>2851</v>
      </c>
      <c r="B14" s="1710" t="s">
        <v>2852</v>
      </c>
      <c r="C14" s="1707"/>
      <c r="D14" s="1708"/>
      <c r="E14" s="1708"/>
      <c r="F14" s="2700"/>
      <c r="G14" s="2700"/>
      <c r="H14" s="2700"/>
      <c r="I14" s="2700">
        <v>1</v>
      </c>
      <c r="J14" s="2700"/>
      <c r="K14" s="2700"/>
    </row>
    <row r="15" spans="1:11" ht="11.25" customHeight="1" x14ac:dyDescent="0.25">
      <c r="A15" s="1522" t="s">
        <v>1373</v>
      </c>
      <c r="B15" s="1713"/>
      <c r="C15" s="1714"/>
      <c r="D15" s="1715"/>
      <c r="E15" s="1715"/>
      <c r="F15" s="2702"/>
      <c r="G15" s="2702"/>
      <c r="H15" s="2702"/>
      <c r="I15" s="2702"/>
      <c r="J15" s="2702"/>
      <c r="K15" s="2702"/>
    </row>
    <row r="16" spans="1:11" ht="11.25" customHeight="1" x14ac:dyDescent="0.25">
      <c r="A16" s="1523" t="s">
        <v>2833</v>
      </c>
      <c r="B16" s="1710"/>
      <c r="C16" s="1707"/>
      <c r="D16" s="1708"/>
      <c r="E16" s="1708"/>
      <c r="F16" s="2700"/>
      <c r="G16" s="2700"/>
      <c r="H16" s="2700"/>
      <c r="I16" s="2700"/>
      <c r="J16" s="2700"/>
      <c r="K16" s="2700"/>
    </row>
    <row r="17" spans="1:11" ht="11.25" customHeight="1" x14ac:dyDescent="0.25">
      <c r="A17" s="1711" t="s">
        <v>2834</v>
      </c>
      <c r="B17" s="1710" t="s">
        <v>2844</v>
      </c>
      <c r="C17" s="1707"/>
      <c r="D17" s="1708"/>
      <c r="E17" s="1708"/>
      <c r="F17" s="2700">
        <v>1</v>
      </c>
      <c r="G17" s="2700">
        <v>1</v>
      </c>
      <c r="H17" s="2700">
        <v>1</v>
      </c>
      <c r="I17" s="2700">
        <v>1</v>
      </c>
      <c r="J17" s="2700"/>
      <c r="K17" s="2700"/>
    </row>
    <row r="18" spans="1:11" ht="11.25" customHeight="1" x14ac:dyDescent="0.25">
      <c r="A18" s="1712"/>
      <c r="B18" s="1710"/>
      <c r="C18" s="1707"/>
      <c r="D18" s="1708"/>
      <c r="E18" s="1708"/>
      <c r="F18" s="2700"/>
      <c r="G18" s="2700"/>
      <c r="H18" s="2700"/>
      <c r="I18" s="2700"/>
      <c r="J18" s="2700"/>
      <c r="K18" s="2700"/>
    </row>
    <row r="19" spans="1:11" ht="11.25" customHeight="1" x14ac:dyDescent="0.25">
      <c r="A19" s="1523" t="s">
        <v>1078</v>
      </c>
      <c r="B19" s="1716"/>
      <c r="C19" s="1714"/>
      <c r="D19" s="1715"/>
      <c r="E19" s="1715"/>
      <c r="F19" s="2702"/>
      <c r="G19" s="2702"/>
      <c r="H19" s="2702"/>
      <c r="I19" s="2702"/>
      <c r="J19" s="2702"/>
      <c r="K19" s="2702"/>
    </row>
    <row r="20" spans="1:11" ht="11.25" customHeight="1" x14ac:dyDescent="0.25">
      <c r="A20" s="1711" t="s">
        <v>2835</v>
      </c>
      <c r="B20" s="1710" t="s">
        <v>2845</v>
      </c>
      <c r="C20" s="1707"/>
      <c r="D20" s="1708"/>
      <c r="E20" s="1708"/>
      <c r="F20" s="2700">
        <v>75000</v>
      </c>
      <c r="G20" s="2700">
        <v>75000</v>
      </c>
      <c r="H20" s="2700">
        <v>75000</v>
      </c>
      <c r="I20" s="2700">
        <v>75683</v>
      </c>
      <c r="J20" s="2700"/>
      <c r="K20" s="2700"/>
    </row>
    <row r="21" spans="1:11" ht="11.25" customHeight="1" x14ac:dyDescent="0.25">
      <c r="A21" s="1712"/>
      <c r="B21" s="1710"/>
      <c r="C21" s="1707"/>
      <c r="D21" s="1708"/>
      <c r="E21" s="1708"/>
      <c r="F21" s="2700"/>
      <c r="G21" s="2700"/>
      <c r="H21" s="2700"/>
      <c r="I21" s="2700"/>
      <c r="J21" s="2700"/>
      <c r="K21" s="2700"/>
    </row>
    <row r="22" spans="1:11" ht="11.25" customHeight="1" x14ac:dyDescent="0.25">
      <c r="A22" s="1523" t="s">
        <v>1056</v>
      </c>
      <c r="B22" s="1713"/>
      <c r="C22" s="1714"/>
      <c r="D22" s="1715"/>
      <c r="E22" s="1715"/>
      <c r="F22" s="2702"/>
      <c r="G22" s="2702"/>
      <c r="H22" s="2702"/>
      <c r="I22" s="2702"/>
      <c r="J22" s="2702"/>
      <c r="K22" s="2702"/>
    </row>
    <row r="23" spans="1:11" ht="11.25" customHeight="1" x14ac:dyDescent="0.25">
      <c r="A23" s="1711" t="s">
        <v>2836</v>
      </c>
      <c r="B23" s="1710" t="s">
        <v>2846</v>
      </c>
      <c r="C23" s="1707"/>
      <c r="D23" s="1708"/>
      <c r="E23" s="1708"/>
      <c r="F23" s="2700">
        <v>2</v>
      </c>
      <c r="G23" s="2700">
        <v>2</v>
      </c>
      <c r="H23" s="2700">
        <v>2</v>
      </c>
      <c r="I23" s="2700">
        <v>0</v>
      </c>
      <c r="J23" s="2700"/>
      <c r="K23" s="2700"/>
    </row>
    <row r="24" spans="1:11" ht="11.25" customHeight="1" x14ac:dyDescent="0.25">
      <c r="A24" s="1717"/>
      <c r="B24" s="1718"/>
      <c r="C24" s="1719"/>
      <c r="D24" s="1720"/>
      <c r="E24" s="1720"/>
      <c r="F24" s="2703"/>
      <c r="G24" s="2703"/>
      <c r="H24" s="2703"/>
      <c r="I24" s="2703"/>
      <c r="J24" s="2703"/>
      <c r="K24" s="2703"/>
    </row>
    <row r="25" spans="1:11" ht="11.25" customHeight="1" x14ac:dyDescent="0.25">
      <c r="A25" s="1519" t="s">
        <v>2837</v>
      </c>
      <c r="B25" s="1710"/>
      <c r="C25" s="1707"/>
      <c r="D25" s="1708"/>
      <c r="E25" s="1708"/>
      <c r="F25" s="2700"/>
      <c r="G25" s="2700"/>
      <c r="H25" s="2700"/>
      <c r="I25" s="2700"/>
      <c r="J25" s="2700"/>
      <c r="K25" s="2700"/>
    </row>
    <row r="26" spans="1:11" ht="11.25" customHeight="1" x14ac:dyDescent="0.25">
      <c r="A26" s="1522" t="s">
        <v>736</v>
      </c>
      <c r="B26" s="1710"/>
      <c r="C26" s="1707"/>
      <c r="D26" s="1708"/>
      <c r="E26" s="1708"/>
      <c r="F26" s="2700"/>
      <c r="G26" s="2700"/>
      <c r="H26" s="2700"/>
      <c r="I26" s="2700"/>
      <c r="J26" s="2700"/>
      <c r="K26" s="2700"/>
    </row>
    <row r="27" spans="1:11" ht="11.25" customHeight="1" x14ac:dyDescent="0.25">
      <c r="A27" s="1523" t="s">
        <v>2838</v>
      </c>
      <c r="B27" s="1706"/>
      <c r="C27" s="1707"/>
      <c r="D27" s="1708"/>
      <c r="E27" s="1708"/>
      <c r="F27" s="2700"/>
      <c r="G27" s="2700"/>
      <c r="H27" s="2700"/>
      <c r="I27" s="2700"/>
      <c r="J27" s="2700"/>
      <c r="K27" s="2700"/>
    </row>
    <row r="28" spans="1:11" ht="11.25" customHeight="1" x14ac:dyDescent="0.25">
      <c r="A28" s="1711" t="s">
        <v>2839</v>
      </c>
      <c r="B28" s="1710" t="s">
        <v>2850</v>
      </c>
      <c r="C28" s="1707"/>
      <c r="D28" s="1708"/>
      <c r="E28" s="1708"/>
      <c r="F28" s="2700">
        <v>8</v>
      </c>
      <c r="G28" s="2700">
        <v>8</v>
      </c>
      <c r="H28" s="2700">
        <v>8</v>
      </c>
      <c r="I28" s="2700">
        <v>19</v>
      </c>
      <c r="J28" s="2700"/>
      <c r="K28" s="2700"/>
    </row>
    <row r="29" spans="1:11" ht="11.25" customHeight="1" x14ac:dyDescent="0.25">
      <c r="A29" s="1712"/>
      <c r="B29" s="1710" t="s">
        <v>2847</v>
      </c>
      <c r="C29" s="1707"/>
      <c r="D29" s="1708"/>
      <c r="E29" s="1708"/>
      <c r="F29" s="2700">
        <v>77</v>
      </c>
      <c r="G29" s="2700">
        <v>77</v>
      </c>
      <c r="H29" s="2700">
        <v>77</v>
      </c>
      <c r="I29" s="2700">
        <v>249</v>
      </c>
      <c r="J29" s="2700"/>
      <c r="K29" s="2700"/>
    </row>
    <row r="30" spans="1:11" ht="11.25" customHeight="1" x14ac:dyDescent="0.25">
      <c r="A30" s="1523" t="s">
        <v>2853</v>
      </c>
      <c r="B30" s="1713"/>
      <c r="C30" s="1714"/>
      <c r="D30" s="1715"/>
      <c r="E30" s="1715"/>
      <c r="F30" s="2702"/>
      <c r="G30" s="2702"/>
      <c r="H30" s="2702"/>
      <c r="I30" s="2702"/>
      <c r="J30" s="2702"/>
      <c r="K30" s="2702"/>
    </row>
    <row r="31" spans="1:11" ht="11.25" customHeight="1" x14ac:dyDescent="0.25">
      <c r="A31" s="1711" t="s">
        <v>2854</v>
      </c>
      <c r="B31" s="1710" t="s">
        <v>2855</v>
      </c>
      <c r="C31" s="1707"/>
      <c r="D31" s="1708"/>
      <c r="E31" s="1708"/>
      <c r="F31" s="2700"/>
      <c r="G31" s="2700"/>
      <c r="H31" s="2700"/>
      <c r="I31" s="2700">
        <v>170</v>
      </c>
      <c r="J31" s="2700"/>
      <c r="K31" s="2700"/>
    </row>
    <row r="32" spans="1:11" ht="11.25" customHeight="1" x14ac:dyDescent="0.25">
      <c r="A32" s="1712"/>
      <c r="B32" s="1710"/>
      <c r="C32" s="1707"/>
      <c r="D32" s="1708"/>
      <c r="E32" s="1708"/>
      <c r="F32" s="2700"/>
      <c r="G32" s="2700"/>
      <c r="H32" s="2700"/>
      <c r="I32" s="2700"/>
      <c r="J32" s="2700"/>
      <c r="K32" s="2700"/>
    </row>
    <row r="33" spans="1:11" ht="11.25" customHeight="1" x14ac:dyDescent="0.25">
      <c r="A33" s="1523" t="s">
        <v>2858</v>
      </c>
      <c r="B33" s="1713"/>
      <c r="C33" s="1714"/>
      <c r="D33" s="1715"/>
      <c r="E33" s="1715"/>
      <c r="F33" s="2702"/>
      <c r="G33" s="2702"/>
      <c r="H33" s="2702"/>
      <c r="I33" s="2702"/>
      <c r="J33" s="2702"/>
      <c r="K33" s="2702"/>
    </row>
    <row r="34" spans="1:11" ht="11.25" customHeight="1" x14ac:dyDescent="0.25">
      <c r="A34" s="1711" t="s">
        <v>2856</v>
      </c>
      <c r="B34" s="1710" t="s">
        <v>2857</v>
      </c>
      <c r="C34" s="1707"/>
      <c r="D34" s="1708"/>
      <c r="E34" s="1708"/>
      <c r="F34" s="2700"/>
      <c r="G34" s="2700"/>
      <c r="H34" s="2700"/>
      <c r="I34" s="2700">
        <v>4</v>
      </c>
      <c r="J34" s="2700"/>
      <c r="K34" s="2700"/>
    </row>
    <row r="35" spans="1:11" ht="11.25" customHeight="1" x14ac:dyDescent="0.25">
      <c r="A35" s="1712"/>
      <c r="B35" s="1706"/>
      <c r="C35" s="1707"/>
      <c r="D35" s="1708"/>
      <c r="E35" s="1708"/>
      <c r="F35" s="2700"/>
      <c r="G35" s="2700"/>
      <c r="H35" s="2700"/>
      <c r="I35" s="2700"/>
      <c r="J35" s="2700"/>
      <c r="K35" s="2700"/>
    </row>
    <row r="36" spans="1:11" ht="11.25" customHeight="1" x14ac:dyDescent="0.25">
      <c r="A36" s="1522" t="s">
        <v>1373</v>
      </c>
      <c r="B36" s="1713"/>
      <c r="C36" s="1714"/>
      <c r="D36" s="1715"/>
      <c r="E36" s="1715"/>
      <c r="F36" s="2702"/>
      <c r="G36" s="2702"/>
      <c r="H36" s="2702"/>
      <c r="I36" s="2702"/>
      <c r="J36" s="2702"/>
      <c r="K36" s="2702"/>
    </row>
    <row r="37" spans="1:11" ht="11.25" customHeight="1" x14ac:dyDescent="0.25">
      <c r="A37" s="1523" t="s">
        <v>1372</v>
      </c>
      <c r="B37" s="1710"/>
      <c r="C37" s="1707"/>
      <c r="D37" s="1708"/>
      <c r="E37" s="1708"/>
      <c r="F37" s="2700"/>
      <c r="G37" s="2700"/>
      <c r="H37" s="2700"/>
      <c r="I37" s="2700"/>
      <c r="J37" s="2700"/>
      <c r="K37" s="2700"/>
    </row>
    <row r="38" spans="1:11" ht="11.25" customHeight="1" x14ac:dyDescent="0.25">
      <c r="A38" s="1711" t="s">
        <v>1086</v>
      </c>
      <c r="B38" s="1710"/>
      <c r="C38" s="1707"/>
      <c r="D38" s="1708"/>
      <c r="E38" s="1708"/>
      <c r="F38" s="2700"/>
      <c r="G38" s="2700"/>
      <c r="H38" s="2700"/>
      <c r="I38" s="2700"/>
      <c r="J38" s="2700"/>
      <c r="K38" s="2700"/>
    </row>
    <row r="39" spans="1:11" ht="11.25" customHeight="1" x14ac:dyDescent="0.25">
      <c r="A39" s="1712"/>
      <c r="B39" s="1710"/>
      <c r="C39" s="1707"/>
      <c r="D39" s="1708"/>
      <c r="E39" s="1708"/>
      <c r="F39" s="2700"/>
      <c r="G39" s="2700"/>
      <c r="H39" s="2700"/>
      <c r="I39" s="2700"/>
      <c r="J39" s="2700"/>
      <c r="K39" s="2700"/>
    </row>
    <row r="40" spans="1:11" ht="11.25" customHeight="1" x14ac:dyDescent="0.25">
      <c r="A40" s="1523" t="s">
        <v>1374</v>
      </c>
      <c r="B40" s="1713"/>
      <c r="C40" s="1714"/>
      <c r="D40" s="1715"/>
      <c r="E40" s="1715"/>
      <c r="F40" s="2702"/>
      <c r="G40" s="2702"/>
      <c r="H40" s="2702"/>
      <c r="I40" s="2702"/>
      <c r="J40" s="2702"/>
      <c r="K40" s="2702"/>
    </row>
    <row r="41" spans="1:11" ht="11.25" customHeight="1" x14ac:dyDescent="0.25">
      <c r="A41" s="1711" t="s">
        <v>1086</v>
      </c>
      <c r="B41" s="1710"/>
      <c r="C41" s="1707"/>
      <c r="D41" s="1708"/>
      <c r="E41" s="1708"/>
      <c r="F41" s="2700"/>
      <c r="G41" s="2700"/>
      <c r="H41" s="2700"/>
      <c r="I41" s="2700"/>
      <c r="J41" s="2700"/>
      <c r="K41" s="2700"/>
    </row>
    <row r="42" spans="1:11" ht="11.25" customHeight="1" x14ac:dyDescent="0.25">
      <c r="A42" s="1712"/>
      <c r="B42" s="1710"/>
      <c r="C42" s="1707"/>
      <c r="D42" s="1708"/>
      <c r="E42" s="1708"/>
      <c r="F42" s="2700"/>
      <c r="G42" s="2700"/>
      <c r="H42" s="2700"/>
      <c r="I42" s="2700"/>
      <c r="J42" s="2700"/>
      <c r="K42" s="2700"/>
    </row>
    <row r="43" spans="1:11" ht="11.25" customHeight="1" x14ac:dyDescent="0.25">
      <c r="A43" s="1523" t="s">
        <v>1375</v>
      </c>
      <c r="B43" s="1716"/>
      <c r="C43" s="1714"/>
      <c r="D43" s="1715"/>
      <c r="E43" s="1715"/>
      <c r="F43" s="2702"/>
      <c r="G43" s="2702"/>
      <c r="H43" s="2702"/>
      <c r="I43" s="2702"/>
      <c r="J43" s="2702"/>
      <c r="K43" s="2702"/>
    </row>
    <row r="44" spans="1:11" ht="11.25" customHeight="1" x14ac:dyDescent="0.25">
      <c r="A44" s="1711" t="s">
        <v>1086</v>
      </c>
      <c r="B44" s="1710"/>
      <c r="C44" s="1707"/>
      <c r="D44" s="1708"/>
      <c r="E44" s="1708"/>
      <c r="F44" s="2700"/>
      <c r="G44" s="2700"/>
      <c r="H44" s="2700"/>
      <c r="I44" s="2700"/>
      <c r="J44" s="2700"/>
      <c r="K44" s="2700"/>
    </row>
    <row r="45" spans="1:11" ht="11.25" customHeight="1" x14ac:dyDescent="0.25">
      <c r="A45" s="1711"/>
      <c r="B45" s="1718"/>
      <c r="C45" s="1719"/>
      <c r="D45" s="1720"/>
      <c r="E45" s="1720"/>
      <c r="F45" s="2703"/>
      <c r="G45" s="2703"/>
      <c r="H45" s="2703"/>
      <c r="I45" s="2703"/>
      <c r="J45" s="2703"/>
      <c r="K45" s="2703"/>
    </row>
    <row r="46" spans="1:11" ht="11.25" customHeight="1" x14ac:dyDescent="0.25">
      <c r="A46" s="1519" t="s">
        <v>1376</v>
      </c>
      <c r="B46" s="1710"/>
      <c r="C46" s="1707"/>
      <c r="D46" s="1708"/>
      <c r="E46" s="1708"/>
      <c r="F46" s="2700"/>
      <c r="G46" s="2700"/>
      <c r="H46" s="2700"/>
      <c r="I46" s="2700"/>
      <c r="J46" s="2700"/>
      <c r="K46" s="2700"/>
    </row>
    <row r="47" spans="1:11" ht="11.25" customHeight="1" x14ac:dyDescent="0.25">
      <c r="A47" s="1522" t="s">
        <v>1371</v>
      </c>
      <c r="B47" s="1710"/>
      <c r="C47" s="1707"/>
      <c r="D47" s="1708"/>
      <c r="E47" s="1708"/>
      <c r="F47" s="2700"/>
      <c r="G47" s="2700"/>
      <c r="H47" s="2700"/>
      <c r="I47" s="2700"/>
      <c r="J47" s="2700"/>
      <c r="K47" s="2700"/>
    </row>
    <row r="48" spans="1:11" ht="11.25" customHeight="1" x14ac:dyDescent="0.25">
      <c r="A48" s="1523" t="s">
        <v>1372</v>
      </c>
      <c r="B48" s="1710"/>
      <c r="C48" s="1707"/>
      <c r="D48" s="1708"/>
      <c r="E48" s="1708"/>
      <c r="F48" s="2700"/>
      <c r="G48" s="2700"/>
      <c r="H48" s="2700"/>
      <c r="I48" s="2700"/>
      <c r="J48" s="2700"/>
      <c r="K48" s="2700"/>
    </row>
    <row r="49" spans="1:11" ht="11.25" customHeight="1" x14ac:dyDescent="0.25">
      <c r="A49" s="1711" t="s">
        <v>1086</v>
      </c>
      <c r="B49" s="1710"/>
      <c r="C49" s="1707"/>
      <c r="D49" s="1708"/>
      <c r="E49" s="1708"/>
      <c r="F49" s="2700"/>
      <c r="G49" s="2700"/>
      <c r="H49" s="2700"/>
      <c r="I49" s="2700"/>
      <c r="J49" s="2700"/>
      <c r="K49" s="2700"/>
    </row>
    <row r="50" spans="1:11" ht="11.25" customHeight="1" x14ac:dyDescent="0.25">
      <c r="A50" s="1712"/>
      <c r="B50" s="1710"/>
      <c r="C50" s="1707"/>
      <c r="D50" s="1708"/>
      <c r="E50" s="1708"/>
      <c r="F50" s="2700"/>
      <c r="G50" s="2700"/>
      <c r="H50" s="2700"/>
      <c r="I50" s="2700"/>
      <c r="J50" s="2700"/>
      <c r="K50" s="2700"/>
    </row>
    <row r="51" spans="1:11" ht="11.25" customHeight="1" x14ac:dyDescent="0.25">
      <c r="A51" s="1523" t="s">
        <v>1374</v>
      </c>
      <c r="B51" s="1713"/>
      <c r="C51" s="1714"/>
      <c r="D51" s="1715"/>
      <c r="E51" s="1715"/>
      <c r="F51" s="2702"/>
      <c r="G51" s="2702"/>
      <c r="H51" s="2702"/>
      <c r="I51" s="2702"/>
      <c r="J51" s="2702"/>
      <c r="K51" s="2702"/>
    </row>
    <row r="52" spans="1:11" ht="11.25" customHeight="1" x14ac:dyDescent="0.25">
      <c r="A52" s="1711" t="s">
        <v>1086</v>
      </c>
      <c r="B52" s="1710"/>
      <c r="C52" s="1707"/>
      <c r="D52" s="1708"/>
      <c r="E52" s="1708"/>
      <c r="F52" s="2700"/>
      <c r="G52" s="2700"/>
      <c r="H52" s="2700"/>
      <c r="I52" s="2700"/>
      <c r="J52" s="2700"/>
      <c r="K52" s="2700"/>
    </row>
    <row r="53" spans="1:11" ht="11.25" customHeight="1" x14ac:dyDescent="0.25">
      <c r="A53" s="1712"/>
      <c r="B53" s="1710"/>
      <c r="C53" s="1707"/>
      <c r="D53" s="1708"/>
      <c r="E53" s="1708"/>
      <c r="F53" s="2700"/>
      <c r="G53" s="2700"/>
      <c r="H53" s="2700"/>
      <c r="I53" s="2700"/>
      <c r="J53" s="1708"/>
      <c r="K53" s="1708"/>
    </row>
    <row r="54" spans="1:11" ht="11.25" customHeight="1" x14ac:dyDescent="0.25">
      <c r="A54" s="1523" t="s">
        <v>1375</v>
      </c>
      <c r="B54" s="1713"/>
      <c r="C54" s="1714"/>
      <c r="D54" s="1715"/>
      <c r="E54" s="1715"/>
      <c r="F54" s="2702"/>
      <c r="G54" s="2702"/>
      <c r="H54" s="2702"/>
      <c r="I54" s="2702"/>
      <c r="J54" s="1715"/>
      <c r="K54" s="1715"/>
    </row>
    <row r="55" spans="1:11" ht="11.25" customHeight="1" x14ac:dyDescent="0.25">
      <c r="A55" s="1711" t="s">
        <v>1086</v>
      </c>
      <c r="B55" s="1710"/>
      <c r="C55" s="1707"/>
      <c r="D55" s="1708"/>
      <c r="E55" s="1708"/>
      <c r="F55" s="2700"/>
      <c r="G55" s="2700"/>
      <c r="H55" s="2700"/>
      <c r="I55" s="2700"/>
      <c r="J55" s="1708"/>
      <c r="K55" s="1708"/>
    </row>
    <row r="56" spans="1:11" ht="11.25" customHeight="1" x14ac:dyDescent="0.25">
      <c r="A56" s="1712"/>
      <c r="B56" s="1710"/>
      <c r="C56" s="1707"/>
      <c r="D56" s="1708"/>
      <c r="E56" s="1708"/>
      <c r="F56" s="2700"/>
      <c r="G56" s="2700"/>
      <c r="H56" s="2700"/>
      <c r="I56" s="2700"/>
      <c r="J56" s="1708"/>
      <c r="K56" s="1708"/>
    </row>
    <row r="57" spans="1:11" ht="11.25" customHeight="1" x14ac:dyDescent="0.25">
      <c r="A57" s="1522" t="s">
        <v>1373</v>
      </c>
      <c r="B57" s="1713"/>
      <c r="C57" s="1714"/>
      <c r="D57" s="1715"/>
      <c r="E57" s="1715"/>
      <c r="F57" s="2702"/>
      <c r="G57" s="2702"/>
      <c r="H57" s="2702"/>
      <c r="I57" s="2702"/>
      <c r="J57" s="1715"/>
      <c r="K57" s="1715"/>
    </row>
    <row r="58" spans="1:11" ht="11.25" customHeight="1" x14ac:dyDescent="0.25">
      <c r="A58" s="1523" t="s">
        <v>1372</v>
      </c>
      <c r="B58" s="1710"/>
      <c r="C58" s="1707"/>
      <c r="D58" s="1708"/>
      <c r="E58" s="1708"/>
      <c r="F58" s="2700"/>
      <c r="G58" s="2700"/>
      <c r="H58" s="2700"/>
      <c r="I58" s="2700"/>
      <c r="J58" s="1708"/>
      <c r="K58" s="1708"/>
    </row>
    <row r="59" spans="1:11" ht="11.25" customHeight="1" x14ac:dyDescent="0.25">
      <c r="A59" s="1711" t="s">
        <v>1086</v>
      </c>
      <c r="B59" s="1710"/>
      <c r="C59" s="1707"/>
      <c r="D59" s="1708"/>
      <c r="E59" s="1708"/>
      <c r="F59" s="2700"/>
      <c r="G59" s="2700"/>
      <c r="H59" s="2700"/>
      <c r="I59" s="2700"/>
      <c r="J59" s="1708"/>
      <c r="K59" s="1708"/>
    </row>
    <row r="60" spans="1:11" ht="11.25" customHeight="1" x14ac:dyDescent="0.25">
      <c r="A60" s="1712"/>
      <c r="B60" s="1710"/>
      <c r="C60" s="1707"/>
      <c r="D60" s="1708"/>
      <c r="E60" s="1708"/>
      <c r="F60" s="2700"/>
      <c r="G60" s="2700"/>
      <c r="H60" s="2700"/>
      <c r="I60" s="2700"/>
      <c r="J60" s="1708"/>
      <c r="K60" s="1708"/>
    </row>
    <row r="61" spans="1:11" ht="11.25" customHeight="1" x14ac:dyDescent="0.25">
      <c r="A61" s="1523" t="s">
        <v>1374</v>
      </c>
      <c r="B61" s="1713"/>
      <c r="C61" s="1714"/>
      <c r="D61" s="1715"/>
      <c r="E61" s="1715"/>
      <c r="F61" s="2702"/>
      <c r="G61" s="2702"/>
      <c r="H61" s="2702"/>
      <c r="I61" s="2702"/>
      <c r="J61" s="1715"/>
      <c r="K61" s="1715"/>
    </row>
    <row r="62" spans="1:11" ht="11.25" customHeight="1" x14ac:dyDescent="0.25">
      <c r="A62" s="1711" t="s">
        <v>1086</v>
      </c>
      <c r="B62" s="1710"/>
      <c r="C62" s="1707"/>
      <c r="D62" s="1708"/>
      <c r="E62" s="1708"/>
      <c r="F62" s="2700"/>
      <c r="G62" s="2700"/>
      <c r="H62" s="2700"/>
      <c r="I62" s="2700"/>
      <c r="J62" s="1708"/>
      <c r="K62" s="1708"/>
    </row>
    <row r="63" spans="1:11" ht="11.25" customHeight="1" x14ac:dyDescent="0.25">
      <c r="A63" s="1712"/>
      <c r="B63" s="1710"/>
      <c r="C63" s="1707"/>
      <c r="D63" s="1708"/>
      <c r="E63" s="1708"/>
      <c r="F63" s="2700"/>
      <c r="G63" s="2700"/>
      <c r="H63" s="2700"/>
      <c r="I63" s="2700"/>
      <c r="J63" s="1708"/>
      <c r="K63" s="1708"/>
    </row>
    <row r="64" spans="1:11" ht="11.25" customHeight="1" x14ac:dyDescent="0.25">
      <c r="A64" s="1523" t="s">
        <v>1375</v>
      </c>
      <c r="B64" s="1713"/>
      <c r="C64" s="1714"/>
      <c r="D64" s="1715"/>
      <c r="E64" s="1715"/>
      <c r="F64" s="2702"/>
      <c r="G64" s="2702"/>
      <c r="H64" s="2702"/>
      <c r="I64" s="2702"/>
      <c r="J64" s="1715"/>
      <c r="K64" s="1715"/>
    </row>
    <row r="65" spans="1:11" ht="11.25" customHeight="1" x14ac:dyDescent="0.25">
      <c r="A65" s="1711" t="s">
        <v>1086</v>
      </c>
      <c r="B65" s="1710"/>
      <c r="C65" s="1707"/>
      <c r="D65" s="1708"/>
      <c r="E65" s="1708"/>
      <c r="F65" s="2700"/>
      <c r="G65" s="2700"/>
      <c r="H65" s="2700"/>
      <c r="I65" s="2700"/>
      <c r="J65" s="1708"/>
      <c r="K65" s="1708"/>
    </row>
    <row r="66" spans="1:11" ht="11.25" customHeight="1" x14ac:dyDescent="0.25">
      <c r="A66" s="1711"/>
      <c r="B66" s="1710"/>
      <c r="C66" s="1707"/>
      <c r="D66" s="1708"/>
      <c r="E66" s="1708"/>
      <c r="F66" s="2700"/>
      <c r="G66" s="2700"/>
      <c r="H66" s="2700"/>
      <c r="I66" s="2700"/>
      <c r="J66" s="1708"/>
      <c r="K66" s="1708"/>
    </row>
    <row r="67" spans="1:11" ht="11.25" customHeight="1" x14ac:dyDescent="0.25">
      <c r="A67" s="1721" t="s">
        <v>1377</v>
      </c>
      <c r="B67" s="1718"/>
      <c r="C67" s="1719"/>
      <c r="D67" s="1720"/>
      <c r="E67" s="1720"/>
      <c r="F67" s="2703"/>
      <c r="G67" s="2703"/>
      <c r="H67" s="2703"/>
      <c r="I67" s="2703"/>
      <c r="J67" s="1720"/>
      <c r="K67" s="1720"/>
    </row>
    <row r="68" spans="1:11" ht="11.25" customHeight="1" x14ac:dyDescent="0.25">
      <c r="A68" s="2807" t="s">
        <v>172</v>
      </c>
      <c r="B68" s="2807"/>
      <c r="C68" s="2807"/>
      <c r="D68" s="2807"/>
      <c r="E68" s="2807"/>
      <c r="F68" s="2807"/>
      <c r="G68" s="2807"/>
      <c r="H68" s="2807"/>
      <c r="I68" s="2807"/>
      <c r="J68" s="2807"/>
      <c r="K68" s="2807"/>
    </row>
    <row r="69" spans="1:11" ht="11.25" customHeight="1" x14ac:dyDescent="0.25">
      <c r="A69" s="460" t="s">
        <v>1370</v>
      </c>
      <c r="B69" s="143"/>
      <c r="C69" s="461"/>
      <c r="D69" s="461"/>
      <c r="E69" s="461"/>
      <c r="F69" s="2704"/>
      <c r="G69" s="2704"/>
      <c r="H69" s="2704"/>
      <c r="I69" s="2704"/>
      <c r="J69" s="462"/>
      <c r="K69" s="462"/>
    </row>
    <row r="70" spans="1:11" ht="11.25" customHeight="1" x14ac:dyDescent="0.25">
      <c r="A70" s="460" t="s">
        <v>1341</v>
      </c>
      <c r="B70" s="143"/>
      <c r="C70" s="461"/>
      <c r="D70" s="461"/>
      <c r="E70" s="461"/>
      <c r="F70" s="2704"/>
      <c r="G70" s="2704"/>
      <c r="H70" s="2704"/>
      <c r="I70" s="2704"/>
      <c r="J70" s="462"/>
      <c r="K70" s="462"/>
    </row>
    <row r="71" spans="1:11" ht="12.75" x14ac:dyDescent="0.25">
      <c r="B71" s="463"/>
    </row>
    <row r="72" spans="1:11" ht="12.75" customHeight="1" x14ac:dyDescent="0.25">
      <c r="A72" s="147" t="str">
        <f>muni&amp;" - "&amp;"Entities measureable performance objectives"</f>
        <v>MP315 Thembisile Hani - Entities measureable performance objectives</v>
      </c>
      <c r="B72" s="147"/>
      <c r="C72" s="147"/>
      <c r="D72" s="147"/>
      <c r="E72" s="147"/>
      <c r="F72" s="2696"/>
      <c r="G72" s="2696"/>
      <c r="H72" s="2696"/>
      <c r="I72" s="2696"/>
      <c r="J72" s="147"/>
      <c r="K72" s="147"/>
    </row>
    <row r="73" spans="1:11" ht="28.5" customHeight="1" x14ac:dyDescent="0.25">
      <c r="A73" s="2802" t="str">
        <f>A2</f>
        <v>Description</v>
      </c>
      <c r="B73" s="2800" t="s">
        <v>419</v>
      </c>
      <c r="C73" s="145" t="str">
        <f>head1b</f>
        <v>2011/12</v>
      </c>
      <c r="D73" s="150" t="str">
        <f>head1A</f>
        <v>2012/13</v>
      </c>
      <c r="E73" s="146" t="str">
        <f>Head1</f>
        <v>2013/14</v>
      </c>
      <c r="F73" s="2804" t="str">
        <f>Head2</f>
        <v>Current Year 2014/15</v>
      </c>
      <c r="G73" s="2805"/>
      <c r="H73" s="2806"/>
      <c r="I73" s="2763" t="str">
        <f>Head3</f>
        <v>2015/16 Medium Term Revenue &amp; Expenditure Framework</v>
      </c>
      <c r="J73" s="2764"/>
      <c r="K73" s="2765"/>
    </row>
    <row r="74" spans="1:11" ht="25.5" x14ac:dyDescent="0.25">
      <c r="A74" s="2803"/>
      <c r="B74" s="2801"/>
      <c r="C74" s="388" t="str">
        <f>Head5</f>
        <v>Audited Outcome</v>
      </c>
      <c r="D74" s="389" t="str">
        <f>Head5</f>
        <v>Audited Outcome</v>
      </c>
      <c r="E74" s="390" t="str">
        <f>Head5</f>
        <v>Audited Outcome</v>
      </c>
      <c r="F74" s="2697" t="str">
        <f>Head6</f>
        <v>Original Budget</v>
      </c>
      <c r="G74" s="2698" t="str">
        <f>Head7</f>
        <v>Adjusted Budget</v>
      </c>
      <c r="H74" s="2699" t="str">
        <f>Head8</f>
        <v>Full Year Forecast</v>
      </c>
      <c r="I74" s="2697" t="str">
        <f>Head9</f>
        <v>Budget Year 2015/16</v>
      </c>
      <c r="J74" s="389" t="str">
        <f>Head10</f>
        <v>Budget Year +1 2016/17</v>
      </c>
      <c r="K74" s="390" t="str">
        <f>Head11</f>
        <v>Budget Year +2 2017/18</v>
      </c>
    </row>
    <row r="75" spans="1:11" ht="11.25" customHeight="1" x14ac:dyDescent="0.25">
      <c r="A75" s="1521" t="s">
        <v>1378</v>
      </c>
      <c r="B75" s="1706"/>
      <c r="C75" s="1722"/>
      <c r="D75" s="1723"/>
      <c r="E75" s="1724"/>
      <c r="F75" s="2706"/>
      <c r="G75" s="2707"/>
      <c r="H75" s="2708"/>
      <c r="I75" s="2709"/>
      <c r="J75" s="1723"/>
      <c r="K75" s="1724"/>
    </row>
    <row r="76" spans="1:11" ht="11.25" customHeight="1" x14ac:dyDescent="0.25">
      <c r="A76" s="1727" t="s">
        <v>1086</v>
      </c>
      <c r="B76" s="1710"/>
      <c r="C76" s="1722"/>
      <c r="D76" s="1723"/>
      <c r="E76" s="1724"/>
      <c r="F76" s="2706"/>
      <c r="G76" s="2707"/>
      <c r="H76" s="2708"/>
      <c r="I76" s="2710"/>
      <c r="J76" s="1723"/>
      <c r="K76" s="1724"/>
    </row>
    <row r="77" spans="1:11" ht="11.25" customHeight="1" x14ac:dyDescent="0.25">
      <c r="A77" s="1727"/>
      <c r="B77" s="1710"/>
      <c r="C77" s="1722"/>
      <c r="D77" s="1723"/>
      <c r="E77" s="1724"/>
      <c r="F77" s="2706"/>
      <c r="G77" s="2707"/>
      <c r="H77" s="2708"/>
      <c r="I77" s="2710"/>
      <c r="J77" s="1723"/>
      <c r="K77" s="1724"/>
    </row>
    <row r="78" spans="1:11" ht="11.25" customHeight="1" x14ac:dyDescent="0.25">
      <c r="A78" s="1728"/>
      <c r="B78" s="1710"/>
      <c r="C78" s="1722"/>
      <c r="D78" s="1723"/>
      <c r="E78" s="1724"/>
      <c r="F78" s="2706"/>
      <c r="G78" s="2707"/>
      <c r="H78" s="2708"/>
      <c r="I78" s="2710"/>
      <c r="J78" s="1723"/>
      <c r="K78" s="1724"/>
    </row>
    <row r="79" spans="1:11" ht="11.25" customHeight="1" x14ac:dyDescent="0.25">
      <c r="A79" s="1521" t="s">
        <v>1379</v>
      </c>
      <c r="B79" s="1729"/>
      <c r="C79" s="1730"/>
      <c r="D79" s="1731"/>
      <c r="E79" s="1732"/>
      <c r="F79" s="2711"/>
      <c r="G79" s="2712"/>
      <c r="H79" s="2713"/>
      <c r="I79" s="2709"/>
      <c r="J79" s="1731"/>
      <c r="K79" s="1732"/>
    </row>
    <row r="80" spans="1:11" ht="11.25" customHeight="1" x14ac:dyDescent="0.25">
      <c r="A80" s="1727" t="str">
        <f>$A$10</f>
        <v>Design Drawing for Etraction of Water</v>
      </c>
      <c r="B80" s="1710"/>
      <c r="C80" s="1722"/>
      <c r="D80" s="1723"/>
      <c r="E80" s="1724"/>
      <c r="F80" s="2706"/>
      <c r="G80" s="2707"/>
      <c r="H80" s="2708"/>
      <c r="I80" s="2710"/>
      <c r="J80" s="1723"/>
      <c r="K80" s="1724"/>
    </row>
    <row r="81" spans="1:11" ht="11.25" customHeight="1" x14ac:dyDescent="0.25">
      <c r="A81" s="1727"/>
      <c r="B81" s="1710"/>
      <c r="C81" s="1722"/>
      <c r="D81" s="1723"/>
      <c r="E81" s="1724"/>
      <c r="F81" s="2706"/>
      <c r="G81" s="2707"/>
      <c r="H81" s="2708"/>
      <c r="I81" s="2710"/>
      <c r="J81" s="1723"/>
      <c r="K81" s="1724"/>
    </row>
    <row r="82" spans="1:11" ht="11.25" customHeight="1" x14ac:dyDescent="0.25">
      <c r="A82" s="1727"/>
      <c r="B82" s="1733"/>
      <c r="C82" s="1734"/>
      <c r="D82" s="1735"/>
      <c r="E82" s="1736"/>
      <c r="F82" s="2714"/>
      <c r="G82" s="2715"/>
      <c r="H82" s="2716"/>
      <c r="I82" s="2717"/>
      <c r="J82" s="1735"/>
      <c r="K82" s="1736"/>
    </row>
    <row r="83" spans="1:11" ht="11.25" customHeight="1" x14ac:dyDescent="0.25">
      <c r="A83" s="1521" t="s">
        <v>1380</v>
      </c>
      <c r="B83" s="1737"/>
      <c r="C83" s="1738"/>
      <c r="D83" s="1739"/>
      <c r="E83" s="1740"/>
      <c r="F83" s="2718"/>
      <c r="G83" s="2719"/>
      <c r="H83" s="2720"/>
      <c r="I83" s="2721"/>
      <c r="J83" s="1739"/>
      <c r="K83" s="1740"/>
    </row>
    <row r="84" spans="1:11" ht="11.25" customHeight="1" x14ac:dyDescent="0.25">
      <c r="A84" s="1727" t="str">
        <f>$A$10</f>
        <v>Design Drawing for Etraction of Water</v>
      </c>
      <c r="B84" s="1710"/>
      <c r="C84" s="1741"/>
      <c r="D84" s="1742"/>
      <c r="E84" s="1743"/>
      <c r="F84" s="1791"/>
      <c r="G84" s="1792"/>
      <c r="H84" s="1795"/>
      <c r="I84" s="2722"/>
      <c r="J84" s="1742"/>
      <c r="K84" s="1743"/>
    </row>
    <row r="85" spans="1:11" ht="11.25" customHeight="1" x14ac:dyDescent="0.25">
      <c r="A85" s="1727"/>
      <c r="B85" s="1733"/>
      <c r="C85" s="1734"/>
      <c r="D85" s="1735"/>
      <c r="E85" s="1736"/>
      <c r="F85" s="2714"/>
      <c r="G85" s="2715"/>
      <c r="H85" s="2716"/>
      <c r="I85" s="2717"/>
      <c r="J85" s="1735"/>
      <c r="K85" s="1736"/>
    </row>
    <row r="86" spans="1:11" ht="11.25" customHeight="1" x14ac:dyDescent="0.25">
      <c r="A86" s="1727"/>
      <c r="B86" s="1733"/>
      <c r="C86" s="1734"/>
      <c r="D86" s="1735"/>
      <c r="E86" s="1736"/>
      <c r="F86" s="2714"/>
      <c r="G86" s="2715"/>
      <c r="H86" s="2716"/>
      <c r="I86" s="2717"/>
      <c r="J86" s="1735"/>
      <c r="K86" s="1736"/>
    </row>
    <row r="87" spans="1:11" ht="11.25" customHeight="1" x14ac:dyDescent="0.25">
      <c r="A87" s="1721" t="s">
        <v>1381</v>
      </c>
      <c r="B87" s="1744"/>
      <c r="C87" s="1745"/>
      <c r="D87" s="1746"/>
      <c r="E87" s="1747"/>
      <c r="F87" s="2723"/>
      <c r="G87" s="2724"/>
      <c r="H87" s="2725"/>
      <c r="I87" s="2726"/>
      <c r="J87" s="1746"/>
      <c r="K87" s="1747"/>
    </row>
    <row r="88" spans="1:11" ht="11.25" customHeight="1" x14ac:dyDescent="0.25">
      <c r="A88" s="2807" t="s">
        <v>173</v>
      </c>
      <c r="B88" s="2807"/>
      <c r="C88" s="2807"/>
      <c r="D88" s="2807"/>
      <c r="E88" s="2807"/>
      <c r="F88" s="2807"/>
      <c r="G88" s="2807"/>
      <c r="H88" s="2807"/>
      <c r="I88" s="2807"/>
      <c r="J88" s="2807"/>
      <c r="K88" s="2807"/>
    </row>
    <row r="89" spans="1:11" ht="11.25" customHeight="1" x14ac:dyDescent="0.25">
      <c r="A89" s="460" t="s">
        <v>1342</v>
      </c>
      <c r="B89" s="143"/>
      <c r="C89" s="461"/>
      <c r="D89" s="461"/>
      <c r="E89" s="461"/>
      <c r="F89" s="2704"/>
      <c r="G89" s="2704"/>
      <c r="H89" s="2704"/>
      <c r="I89" s="2704"/>
      <c r="J89" s="462"/>
      <c r="K89" s="462"/>
    </row>
  </sheetData>
  <customSheetViews>
    <customSheetView guid="{F50C5479-5CC4-4FD7-8319-543D29E829F0}" showGridLines="0" fitToPage="1">
      <pane xSplit="2" ySplit="3" topLeftCell="C7" activePane="bottomRight" state="frozen"/>
      <selection pane="bottomRight" activeCell="F35" sqref="F35"/>
      <pageMargins left="0" right="0" top="0.78740157480314965" bottom="0.59055118110236227" header="0.51181102362204722" footer="0.39370078740157483"/>
      <printOptions horizontalCentered="1"/>
      <pageSetup paperSize="9" scale="80" fitToHeight="2" orientation="portrait" r:id="rId1"/>
      <headerFooter alignWithMargins="0"/>
    </customSheetView>
  </customSheetViews>
  <mergeCells count="10">
    <mergeCell ref="B2:B3"/>
    <mergeCell ref="A2:A3"/>
    <mergeCell ref="F2:H2"/>
    <mergeCell ref="I2:K2"/>
    <mergeCell ref="A88:K88"/>
    <mergeCell ref="A68:K68"/>
    <mergeCell ref="A73:A74"/>
    <mergeCell ref="B73:B74"/>
    <mergeCell ref="F73:H73"/>
    <mergeCell ref="I73:K73"/>
  </mergeCells>
  <phoneticPr fontId="2" type="noConversion"/>
  <printOptions horizontalCentered="1"/>
  <pageMargins left="0" right="0" top="0.78740157480314965" bottom="0.59055118110236227" header="0.51181102362204722" footer="0.39370078740157483"/>
  <pageSetup paperSize="9" scale="80" fitToHeight="2" orientation="portrait"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2"/>
    <pageSetUpPr fitToPage="1"/>
  </sheetPr>
  <dimension ref="A1:M49"/>
  <sheetViews>
    <sheetView showGridLines="0" zoomScaleNormal="100" workbookViewId="0">
      <pane xSplit="2" ySplit="3" topLeftCell="C23" activePane="bottomRight" state="frozen"/>
      <selection activeCell="F35" sqref="F35"/>
      <selection pane="topRight" activeCell="F35" sqref="F35"/>
      <selection pane="bottomLeft" activeCell="F35" sqref="F35"/>
      <selection pane="bottomRight" activeCell="E30" sqref="E30"/>
    </sheetView>
  </sheetViews>
  <sheetFormatPr defaultRowHeight="12.75" x14ac:dyDescent="0.25"/>
  <cols>
    <col min="1" max="1" width="29.28515625" style="149" customWidth="1"/>
    <col min="2" max="2" width="25.140625" style="149" customWidth="1"/>
    <col min="3" max="12" width="8.7109375" style="149" customWidth="1"/>
    <col min="13" max="16384" width="9.140625" style="149"/>
  </cols>
  <sheetData>
    <row r="1" spans="1:12" s="179" customFormat="1" x14ac:dyDescent="0.2">
      <c r="A1" s="147" t="str">
        <f>muni&amp;" - "&amp;TableA8</f>
        <v>MP315 Thembisile Hani - Supporting Table SA8 Performance indicators and benchmarks</v>
      </c>
      <c r="B1" s="147"/>
      <c r="C1" s="147"/>
      <c r="D1" s="147"/>
      <c r="E1" s="147"/>
      <c r="F1" s="147"/>
      <c r="G1" s="147"/>
      <c r="H1" s="147"/>
      <c r="I1" s="147"/>
      <c r="J1" s="147"/>
      <c r="K1" s="147"/>
      <c r="L1" s="147"/>
    </row>
    <row r="2" spans="1:12" ht="28.5" customHeight="1" x14ac:dyDescent="0.25">
      <c r="A2" s="2802" t="s">
        <v>340</v>
      </c>
      <c r="B2" s="2800" t="s">
        <v>1079</v>
      </c>
      <c r="C2" s="145" t="str">
        <f>head1b</f>
        <v>2011/12</v>
      </c>
      <c r="D2" s="150" t="str">
        <f>head1A</f>
        <v>2012/13</v>
      </c>
      <c r="E2" s="146" t="str">
        <f>Head1</f>
        <v>2013/14</v>
      </c>
      <c r="F2" s="2766" t="str">
        <f>Head2</f>
        <v>Current Year 2014/15</v>
      </c>
      <c r="G2" s="2767"/>
      <c r="H2" s="2767"/>
      <c r="I2" s="2767"/>
      <c r="J2" s="2763" t="str">
        <f>Head3</f>
        <v>2015/16 Medium Term Revenue &amp; Expenditure Framework</v>
      </c>
      <c r="K2" s="2764"/>
      <c r="L2" s="2765"/>
    </row>
    <row r="3" spans="1:12" ht="38.25" x14ac:dyDescent="0.25">
      <c r="A3" s="2803"/>
      <c r="B3" s="2801"/>
      <c r="C3" s="154" t="str">
        <f>Head5</f>
        <v>Audited Outcome</v>
      </c>
      <c r="D3" s="152" t="str">
        <f>Head5</f>
        <v>Audited Outcome</v>
      </c>
      <c r="E3" s="153" t="str">
        <f>Head5</f>
        <v>Audited Outcome</v>
      </c>
      <c r="F3" s="151" t="str">
        <f>Head6</f>
        <v>Original Budget</v>
      </c>
      <c r="G3" s="152" t="str">
        <f>Head7</f>
        <v>Adjusted Budget</v>
      </c>
      <c r="H3" s="153" t="str">
        <f>Head8</f>
        <v>Full Year Forecast</v>
      </c>
      <c r="I3" s="154" t="str">
        <f>Head5b</f>
        <v>Pre-audit outcome</v>
      </c>
      <c r="J3" s="151" t="str">
        <f>Head9</f>
        <v>Budget Year 2015/16</v>
      </c>
      <c r="K3" s="152" t="str">
        <f>Head10</f>
        <v>Budget Year +1 2016/17</v>
      </c>
      <c r="L3" s="153" t="str">
        <f>Head11</f>
        <v>Budget Year +2 2017/18</v>
      </c>
    </row>
    <row r="4" spans="1:12" x14ac:dyDescent="0.25">
      <c r="A4" s="464" t="s">
        <v>788</v>
      </c>
      <c r="B4" s="465"/>
      <c r="C4" s="466"/>
      <c r="D4" s="438"/>
      <c r="E4" s="467"/>
      <c r="F4" s="468"/>
      <c r="G4" s="438"/>
      <c r="H4" s="467"/>
      <c r="I4" s="469"/>
      <c r="J4" s="466"/>
      <c r="K4" s="438"/>
      <c r="L4" s="467"/>
    </row>
    <row r="5" spans="1:12" ht="5.25" customHeight="1" x14ac:dyDescent="0.25">
      <c r="A5" s="476"/>
      <c r="B5" s="470"/>
      <c r="C5" s="471"/>
      <c r="D5" s="472"/>
      <c r="E5" s="473"/>
      <c r="F5" s="474"/>
      <c r="G5" s="472"/>
      <c r="H5" s="473"/>
      <c r="I5" s="475"/>
      <c r="J5" s="471"/>
      <c r="K5" s="472"/>
      <c r="L5" s="473"/>
    </row>
    <row r="6" spans="1:12" x14ac:dyDescent="0.25">
      <c r="A6" s="476" t="s">
        <v>946</v>
      </c>
      <c r="B6" s="470"/>
      <c r="C6" s="1748">
        <v>0</v>
      </c>
      <c r="D6" s="1748">
        <v>0</v>
      </c>
      <c r="E6" s="1748">
        <v>0</v>
      </c>
      <c r="F6" s="1748">
        <v>0</v>
      </c>
      <c r="G6" s="1748">
        <v>0</v>
      </c>
      <c r="H6" s="1748">
        <v>0</v>
      </c>
      <c r="I6" s="1748">
        <v>0</v>
      </c>
      <c r="J6" s="477"/>
      <c r="K6" s="478"/>
      <c r="L6" s="479"/>
    </row>
    <row r="7" spans="1:12" ht="25.5" x14ac:dyDescent="0.25">
      <c r="A7" s="476" t="s">
        <v>586</v>
      </c>
      <c r="B7" s="470" t="s">
        <v>1435</v>
      </c>
      <c r="C7" s="471">
        <f>IF(ISERROR(('A4-FinPerf RE'!C29-'A7-CFlow'!C35)/'A4-FinPerf RE'!C36),0,(('A4-FinPerf RE'!C29-'A7-CFlow'!C35)/'A4-FinPerf RE'!C36))</f>
        <v>0</v>
      </c>
      <c r="D7" s="472">
        <f>IF(ISERROR(('A4-FinPerf RE'!D29-'A7-CFlow'!D35)/'A4-FinPerf RE'!D36),0,(('A4-FinPerf RE'!D29-'A7-CFlow'!D35)/'A4-FinPerf RE'!D36))</f>
        <v>0</v>
      </c>
      <c r="E7" s="473">
        <f>IF(ISERROR(('A4-FinPerf RE'!E29-'A7-CFlow'!E35)/'A4-FinPerf RE'!E36),0,(('A4-FinPerf RE'!E29-'A7-CFlow'!E35)/'A4-FinPerf RE'!E36))</f>
        <v>0</v>
      </c>
      <c r="F7" s="474">
        <f>IF(ISERROR(('A4-FinPerf RE'!F29-'A7-CFlow'!F35)/'A4-FinPerf RE'!F36),0,(('A4-FinPerf RE'!F29-'A7-CFlow'!F35)/'A4-FinPerf RE'!F36))</f>
        <v>0</v>
      </c>
      <c r="G7" s="472">
        <f>IF(ISERROR(('A4-FinPerf RE'!G29-'A7-CFlow'!G35)/'A4-FinPerf RE'!G36),0,(('A4-FinPerf RE'!G29-'A7-CFlow'!G35)/'A4-FinPerf RE'!G36))</f>
        <v>0</v>
      </c>
      <c r="H7" s="473">
        <f>IF(ISERROR(('A4-FinPerf RE'!H29-'A7-CFlow'!H35)/'A4-FinPerf RE'!H36),0,(('A4-FinPerf RE'!H29-'A7-CFlow'!H35)/'A4-FinPerf RE'!H36))</f>
        <v>0</v>
      </c>
      <c r="I7" s="475">
        <f>IF(ISERROR(('A4-FinPerf RE'!I29-'A7-CFlow'!I35)/'A4-FinPerf RE'!I36),0,(('A4-FinPerf RE'!I29-'A7-CFlow'!I35)/'A4-FinPerf RE'!I36))</f>
        <v>0</v>
      </c>
      <c r="J7" s="471">
        <f>IF(ISERROR(('A4-FinPerf RE'!J29-'A7-CFlow'!J35)/'A4-FinPerf RE'!J36),0,(('A4-FinPerf RE'!J29-'A7-CFlow'!J35)/'A4-FinPerf RE'!J36))</f>
        <v>0</v>
      </c>
      <c r="K7" s="472">
        <f>IF(ISERROR(('A4-FinPerf RE'!K29-'A7-CFlow'!K35)/'A4-FinPerf RE'!K36),0,(('A4-FinPerf RE'!K29-'A7-CFlow'!K35)/'A4-FinPerf RE'!K36))</f>
        <v>0</v>
      </c>
      <c r="L7" s="473">
        <f>IF(ISERROR(('A4-FinPerf RE'!L29-'A7-CFlow'!L35)/'A4-FinPerf RE'!L36),0,(('A4-FinPerf RE'!L29-'A7-CFlow'!L35)/'A4-FinPerf RE'!L36))</f>
        <v>0</v>
      </c>
    </row>
    <row r="8" spans="1:12" ht="25.5" x14ac:dyDescent="0.25">
      <c r="A8" s="476" t="s">
        <v>2185</v>
      </c>
      <c r="B8" s="470" t="s">
        <v>2197</v>
      </c>
      <c r="C8" s="471">
        <f>IF(ISERROR(('A4-FinPerf RE'!C29-'A7-CFlow'!C35)/('A4-FinPerf RE'!C22-'A4-FinPerf RE'!C19)),0,(('A4-FinPerf RE'!C29-'A7-CFlow'!C35)/('A4-FinPerf RE'!C22-'A4-FinPerf RE'!C19)))</f>
        <v>0</v>
      </c>
      <c r="D8" s="472">
        <f>IF(ISERROR(('A4-FinPerf RE'!D29-'A7-CFlow'!D35)/('A4-FinPerf RE'!D22-'A4-FinPerf RE'!D19)),0,(('A4-FinPerf RE'!D29-'A7-CFlow'!D35)/('A4-FinPerf RE'!D22-'A4-FinPerf RE'!D19)))</f>
        <v>0</v>
      </c>
      <c r="E8" s="473">
        <f>IF(ISERROR(('A4-FinPerf RE'!E29-'A7-CFlow'!E35)/('A4-FinPerf RE'!E22-'A4-FinPerf RE'!E19)),0,(('A4-FinPerf RE'!E29-'A7-CFlow'!E35)/('A4-FinPerf RE'!E22-'A4-FinPerf RE'!E19)))</f>
        <v>0</v>
      </c>
      <c r="F8" s="474">
        <f>IF(ISERROR(('A4-FinPerf RE'!F29-'A7-CFlow'!F35)/('A4-FinPerf RE'!F22-'A4-FinPerf RE'!F19)),0,(('A4-FinPerf RE'!F29-'A7-CFlow'!F35)/('A4-FinPerf RE'!F22-'A4-FinPerf RE'!F19)))</f>
        <v>0</v>
      </c>
      <c r="G8" s="472">
        <f>IF(ISERROR(('A4-FinPerf RE'!G29-'A7-CFlow'!G35)/('A4-FinPerf RE'!G22-'A4-FinPerf RE'!G19)),0,(('A4-FinPerf RE'!G29-'A7-CFlow'!G35)/('A4-FinPerf RE'!G22-'A4-FinPerf RE'!G19)))</f>
        <v>0</v>
      </c>
      <c r="H8" s="473">
        <f>IF(ISERROR(('A4-FinPerf RE'!H29-'A7-CFlow'!H35)/('A4-FinPerf RE'!H22-'A4-FinPerf RE'!H19)),0,(('A4-FinPerf RE'!H29-'A7-CFlow'!H35)/('A4-FinPerf RE'!H22-'A4-FinPerf RE'!H19)))</f>
        <v>0</v>
      </c>
      <c r="I8" s="475">
        <f>IF(ISERROR(('A4-FinPerf RE'!I29-'A7-CFlow'!I35)/('A4-FinPerf RE'!I22-'A4-FinPerf RE'!I19)),0,(('A4-FinPerf RE'!I29-'A7-CFlow'!I35)/('A4-FinPerf RE'!I22-'A4-FinPerf RE'!I19)))</f>
        <v>0</v>
      </c>
      <c r="J8" s="471">
        <f>IF(ISERROR(('A4-FinPerf RE'!J29-'A7-CFlow'!J35)/('A4-FinPerf RE'!J22-'A4-FinPerf RE'!J19)),0,(('A4-FinPerf RE'!J29-'A7-CFlow'!J35)/('A4-FinPerf RE'!J22-'A4-FinPerf RE'!J19)))</f>
        <v>0</v>
      </c>
      <c r="K8" s="472">
        <f>IF(ISERROR(('A4-FinPerf RE'!K29-'A7-CFlow'!K35)/('A4-FinPerf RE'!K22-'A4-FinPerf RE'!K19)),0,(('A4-FinPerf RE'!K29-'A7-CFlow'!K35)/('A4-FinPerf RE'!K22-'A4-FinPerf RE'!K19)))</f>
        <v>0</v>
      </c>
      <c r="L8" s="473">
        <f>IF(ISERROR(('A4-FinPerf RE'!L29-'A7-CFlow'!L35)/('A4-FinPerf RE'!L22-'A4-FinPerf RE'!L19)),0,(('A4-FinPerf RE'!L29-'A7-CFlow'!L35)/('A4-FinPerf RE'!L22-'A4-FinPerf RE'!L19)))</f>
        <v>0</v>
      </c>
    </row>
    <row r="9" spans="1:12" ht="25.5" x14ac:dyDescent="0.25">
      <c r="A9" s="476" t="s">
        <v>903</v>
      </c>
      <c r="B9" s="470" t="s">
        <v>372</v>
      </c>
      <c r="C9" s="471">
        <f>IF(ISERROR(C49/C48),0,(C49/C48))</f>
        <v>0</v>
      </c>
      <c r="D9" s="472">
        <f>IF(ISERROR(D49/D48),0,(D49/D48))</f>
        <v>0</v>
      </c>
      <c r="E9" s="473">
        <f t="shared" ref="E9:L9" si="0">IF(ISERROR(E49/E48),0,(E49/E48))</f>
        <v>0</v>
      </c>
      <c r="F9" s="474">
        <f t="shared" si="0"/>
        <v>0</v>
      </c>
      <c r="G9" s="472">
        <f t="shared" si="0"/>
        <v>0</v>
      </c>
      <c r="H9" s="473">
        <f t="shared" si="0"/>
        <v>0</v>
      </c>
      <c r="I9" s="475">
        <f t="shared" si="0"/>
        <v>0</v>
      </c>
      <c r="J9" s="471">
        <f t="shared" si="0"/>
        <v>0</v>
      </c>
      <c r="K9" s="472">
        <f t="shared" si="0"/>
        <v>0</v>
      </c>
      <c r="L9" s="473">
        <f t="shared" si="0"/>
        <v>0</v>
      </c>
    </row>
    <row r="10" spans="1:12" x14ac:dyDescent="0.25">
      <c r="A10" s="480" t="s">
        <v>347</v>
      </c>
      <c r="B10" s="470"/>
      <c r="C10" s="481"/>
      <c r="D10" s="482"/>
      <c r="E10" s="483"/>
      <c r="F10" s="484"/>
      <c r="G10" s="482"/>
      <c r="H10" s="483"/>
      <c r="I10" s="485"/>
      <c r="J10" s="481"/>
      <c r="K10" s="482"/>
      <c r="L10" s="483"/>
    </row>
    <row r="11" spans="1:12" ht="25.5" x14ac:dyDescent="0.25">
      <c r="A11" s="476" t="s">
        <v>346</v>
      </c>
      <c r="B11" s="470" t="s">
        <v>294</v>
      </c>
      <c r="C11" s="471">
        <f>IF(ISERROR(('A6-FinPos'!C37/'A6-FinPos'!C46)),0,(('A6-FinPos'!C37/'A6-FinPos'!C46)))</f>
        <v>0</v>
      </c>
      <c r="D11" s="472">
        <f>IF(ISERROR(('A6-FinPos'!D37/'A6-FinPos'!D46)),0,(('A6-FinPos'!D37/'A6-FinPos'!D46)))</f>
        <v>0</v>
      </c>
      <c r="E11" s="473">
        <f>IF(ISERROR(('A6-FinPos'!E37/'A6-FinPos'!E46)),0,(('A6-FinPos'!E37/'A6-FinPos'!E46)))</f>
        <v>0</v>
      </c>
      <c r="F11" s="474">
        <f>IF(ISERROR(('A6-FinPos'!F37/'A6-FinPos'!F46)),0,(('A6-FinPos'!F37/'A6-FinPos'!F46)))</f>
        <v>0</v>
      </c>
      <c r="G11" s="472">
        <f>IF(ISERROR(('A6-FinPos'!G37/'A6-FinPos'!G46)),0,(('A6-FinPos'!G37/'A6-FinPos'!G46)))</f>
        <v>0</v>
      </c>
      <c r="H11" s="473">
        <f>IF(ISERROR(('A6-FinPos'!H37/'A6-FinPos'!H46)),0,(('A6-FinPos'!H37/'A6-FinPos'!H46)))</f>
        <v>0</v>
      </c>
      <c r="I11" s="475">
        <f>IF(ISERROR(('A6-FinPos'!I37/'A6-FinPos'!I46)),0,(('A6-FinPos'!I37/'A6-FinPos'!I46)))</f>
        <v>0</v>
      </c>
      <c r="J11" s="471">
        <f>IF(ISERROR(('A6-FinPos'!J37/'A6-FinPos'!J46)),0,(('A6-FinPos'!J37/'A6-FinPos'!J46)))</f>
        <v>0</v>
      </c>
      <c r="K11" s="472">
        <f>IF(ISERROR(('A6-FinPos'!K37/'A6-FinPos'!K46)),0,(('A6-FinPos'!K37/'A6-FinPos'!K46)))</f>
        <v>0</v>
      </c>
      <c r="L11" s="473">
        <f>IF(ISERROR(('A6-FinPos'!L37/'A6-FinPos'!L46)),0,(('A6-FinPos'!L37/'A6-FinPos'!L46)))</f>
        <v>0</v>
      </c>
    </row>
    <row r="12" spans="1:12" x14ac:dyDescent="0.25">
      <c r="A12" s="480" t="s">
        <v>348</v>
      </c>
      <c r="B12" s="470"/>
      <c r="C12" s="481"/>
      <c r="D12" s="482"/>
      <c r="E12" s="483"/>
      <c r="F12" s="484"/>
      <c r="G12" s="482"/>
      <c r="H12" s="483"/>
      <c r="I12" s="485"/>
      <c r="J12" s="481"/>
      <c r="K12" s="482"/>
      <c r="L12" s="483"/>
    </row>
    <row r="13" spans="1:12" x14ac:dyDescent="0.25">
      <c r="A13" s="476" t="s">
        <v>587</v>
      </c>
      <c r="B13" s="470" t="s">
        <v>1439</v>
      </c>
      <c r="C13" s="486">
        <f>IF(ISERROR('A6-FinPos'!C12/'A6-FinPos'!C34),0,('A6-FinPos'!C12/'A6-FinPos'!C34))</f>
        <v>1.532515106576064</v>
      </c>
      <c r="D13" s="487">
        <f>IF(ISERROR('A6-FinPos'!D12/'A6-FinPos'!D34),0,('A6-FinPos'!D12/'A6-FinPos'!D34))</f>
        <v>1.1422725533277613</v>
      </c>
      <c r="E13" s="488">
        <f>IF(ISERROR('A6-FinPos'!E12/'A6-FinPos'!E34),0,('A6-FinPos'!E12/'A6-FinPos'!E34))</f>
        <v>0.33487535665393259</v>
      </c>
      <c r="F13" s="489">
        <f>IF(ISERROR('A6-FinPos'!F12/'A6-FinPos'!F34),0,('A6-FinPos'!F12/'A6-FinPos'!F34))</f>
        <v>3.5686459288054686</v>
      </c>
      <c r="G13" s="487">
        <f>IF(ISERROR('A6-FinPos'!G12/'A6-FinPos'!G34),0,('A6-FinPos'!G12/'A6-FinPos'!G34))</f>
        <v>0.5781082470929173</v>
      </c>
      <c r="H13" s="488">
        <f>IF(ISERROR('A6-FinPos'!H12/'A6-FinPos'!H34),0,('A6-FinPos'!H12/'A6-FinPos'!H34))</f>
        <v>0.5781082470929173</v>
      </c>
      <c r="I13" s="490">
        <f>IF(ISERROR('A6-FinPos'!I12/'A6-FinPos'!I34),0,('A6-FinPos'!I12/'A6-FinPos'!I34))</f>
        <v>4.374218978661168</v>
      </c>
      <c r="J13" s="486">
        <f>IF(ISERROR('A6-FinPos'!J12/'A6-FinPos'!J34),0,('A6-FinPos'!J12/'A6-FinPos'!J34))</f>
        <v>2.4381263475666959</v>
      </c>
      <c r="K13" s="487">
        <f>IF(ISERROR('A6-FinPos'!K12/'A6-FinPos'!K34),0,('A6-FinPos'!K12/'A6-FinPos'!K34))</f>
        <v>2.4381263475666968</v>
      </c>
      <c r="L13" s="488">
        <f>IF(ISERROR('A6-FinPos'!L12/'A6-FinPos'!L34),0,('A6-FinPos'!L12/'A6-FinPos'!L34))</f>
        <v>2.4381263475666968</v>
      </c>
    </row>
    <row r="14" spans="1:12" ht="25.5" x14ac:dyDescent="0.25">
      <c r="A14" s="476" t="s">
        <v>1436</v>
      </c>
      <c r="B14" s="470" t="s">
        <v>1383</v>
      </c>
      <c r="C14" s="486">
        <f>IF(ISERROR(('A6-FinPos'!C12-'SA8'!C45)/'A6-FinPos'!C34),0,(('A6-FinPos'!C12-'SA8'!C45)/'A6-FinPos'!C34))</f>
        <v>1.532515106576064</v>
      </c>
      <c r="D14" s="487">
        <f>IF(ISERROR(('A6-FinPos'!D12-'SA8'!D45)/'A6-FinPos'!D34),0,(('A6-FinPos'!D12-'SA8'!D45)/'A6-FinPos'!D34))</f>
        <v>1.1422725533277613</v>
      </c>
      <c r="E14" s="488">
        <f>IF(ISERROR(('A6-FinPos'!E12-'SA8'!E45)/'A6-FinPos'!E34),0,(('A6-FinPos'!E12-'SA8'!E45)/'A6-FinPos'!E34))</f>
        <v>0.33487535665393259</v>
      </c>
      <c r="F14" s="489">
        <f>IF(ISERROR(('A6-FinPos'!F12-'SA8'!F45)/'A6-FinPos'!F34),0,(('A6-FinPos'!F12-'SA8'!F45)/'A6-FinPos'!F34))</f>
        <v>3.5686459288054686</v>
      </c>
      <c r="G14" s="487">
        <f>IF(ISERROR(('A6-FinPos'!G12-'SA8'!G45)/'A6-FinPos'!G34),0,(('A6-FinPos'!G12-'SA8'!G45)/'A6-FinPos'!G34))</f>
        <v>0.5781082470929173</v>
      </c>
      <c r="H14" s="488">
        <f>IF(ISERROR(('A6-FinPos'!H12-'SA8'!H45)/'A6-FinPos'!H34),0,(('A6-FinPos'!H12-'SA8'!H45)/'A6-FinPos'!H34))</f>
        <v>0.5781082470929173</v>
      </c>
      <c r="I14" s="490">
        <f>IF(ISERROR(('A6-FinPos'!I12-'SA8'!I45)/'A6-FinPos'!I34),0,(('A6-FinPos'!I12-'SA8'!I45)/'A6-FinPos'!I34))</f>
        <v>4.374218978661168</v>
      </c>
      <c r="J14" s="486">
        <f>IF(ISERROR(('A6-FinPos'!J12-'SA8'!J45)/'A6-FinPos'!J34),0,(('A6-FinPos'!J12-'SA8'!J45)/'A6-FinPos'!J34))</f>
        <v>2.4381263475666959</v>
      </c>
      <c r="K14" s="487">
        <f>IF(ISERROR(('A6-FinPos'!K12-'SA8'!K45)/'A6-FinPos'!K34),0,(('A6-FinPos'!K12-'SA8'!K45)/'A6-FinPos'!K34))</f>
        <v>2.4381263475666968</v>
      </c>
      <c r="L14" s="488">
        <f>IF(ISERROR(('A6-FinPos'!L12-'SA8'!L45)/'A6-FinPos'!L34),0,(('A6-FinPos'!L12-'SA8'!L45)/'A6-FinPos'!L34))</f>
        <v>2.4381263475666968</v>
      </c>
    </row>
    <row r="15" spans="1:12" x14ac:dyDescent="0.25">
      <c r="A15" s="476" t="s">
        <v>349</v>
      </c>
      <c r="B15" s="470" t="s">
        <v>892</v>
      </c>
      <c r="C15" s="486">
        <f>IF(ISERROR(('A6-FinPos'!C6+'A6-FinPos'!C7)/'A6-FinPos'!C34),0,(('A6-FinPos'!C6+'A6-FinPos'!C7)/'A6-FinPos'!C34))</f>
        <v>0.8043781402864163</v>
      </c>
      <c r="D15" s="487">
        <f>IF(ISERROR(('A6-FinPos'!D6+'A6-FinPos'!D7)/'A6-FinPos'!D34),0,(('A6-FinPos'!D6+'A6-FinPos'!D7)/'A6-FinPos'!D34))</f>
        <v>4.4519571275645833E-2</v>
      </c>
      <c r="E15" s="488">
        <f>IF(ISERROR(('A6-FinPos'!E6+'A6-FinPos'!E7)/'A6-FinPos'!E34),0,(('A6-FinPos'!E6+'A6-FinPos'!E7)/'A6-FinPos'!E34))</f>
        <v>0.27318014992807182</v>
      </c>
      <c r="F15" s="489">
        <f>IF(ISERROR(('A6-FinPos'!F6+'A6-FinPos'!F7)/'A6-FinPos'!F34),0,(('A6-FinPos'!F6+'A6-FinPos'!F7)/'A6-FinPos'!F34))</f>
        <v>0.47067128128343255</v>
      </c>
      <c r="G15" s="487">
        <f>IF(ISERROR(('A6-FinPos'!G6+'A6-FinPos'!G7)/'A6-FinPos'!G34),0,(('A6-FinPos'!G6+'A6-FinPos'!G7)/'A6-FinPos'!G34))</f>
        <v>-2.5198664004291187</v>
      </c>
      <c r="H15" s="488">
        <f>IF(ISERROR(('A6-FinPos'!H6+'A6-FinPos'!H7)/'A6-FinPos'!H34),0,(('A6-FinPos'!H6+'A6-FinPos'!H7)/'A6-FinPos'!H34))</f>
        <v>-2.5198664004291187</v>
      </c>
      <c r="I15" s="490">
        <f>IF(ISERROR(('A6-FinPos'!I6+'A6-FinPos'!I7)/'A6-FinPos'!I34),0,(('A6-FinPos'!I6+'A6-FinPos'!I7)/'A6-FinPos'!I34))</f>
        <v>0.47783767161685503</v>
      </c>
      <c r="J15" s="486">
        <f>IF(ISERROR(('A6-FinPos'!J6+'A6-FinPos'!J7)/'A6-FinPos'!J34),0,(('A6-FinPos'!J6+'A6-FinPos'!J7)/'A6-FinPos'!J34))</f>
        <v>4.3033014282956666E-2</v>
      </c>
      <c r="K15" s="487">
        <f>IF(ISERROR(('A6-FinPos'!K6+'A6-FinPos'!K7)/'A6-FinPos'!K34),0,(('A6-FinPos'!K6+'A6-FinPos'!K7)/'A6-FinPos'!K34))</f>
        <v>4.3033014282956666E-2</v>
      </c>
      <c r="L15" s="488">
        <f>IF(ISERROR(('A6-FinPos'!L6+'A6-FinPos'!L7)/'A6-FinPos'!L34),0,(('A6-FinPos'!L6+'A6-FinPos'!L7)/'A6-FinPos'!L34))</f>
        <v>4.3033014282956659E-2</v>
      </c>
    </row>
    <row r="16" spans="1:12" x14ac:dyDescent="0.25">
      <c r="A16" s="480" t="s">
        <v>893</v>
      </c>
      <c r="B16" s="470"/>
      <c r="C16" s="491"/>
      <c r="D16" s="492"/>
      <c r="E16" s="493"/>
      <c r="F16" s="494"/>
      <c r="G16" s="492"/>
      <c r="H16" s="493"/>
      <c r="I16" s="495"/>
      <c r="J16" s="491"/>
      <c r="K16" s="492"/>
      <c r="L16" s="493"/>
    </row>
    <row r="17" spans="1:13" ht="25.5" x14ac:dyDescent="0.25">
      <c r="A17" s="476" t="s">
        <v>894</v>
      </c>
      <c r="B17" s="470" t="s">
        <v>1384</v>
      </c>
      <c r="C17" s="496"/>
      <c r="D17" s="497">
        <f>IF(ISERROR(('A7-CFlow'!C6+'A7-CFlow'!C7+'A7-CFlow'!C22+'A7-CFlow'!C23)/SUM('A4-FinPerf RE'!C5:C11)),0,('A7-CFlow'!C6+'A7-CFlow'!C7+'A7-CFlow'!C22+'A7-CFlow'!C23)/(SUM('A4-FinPerf RE'!C5:C11)))</f>
        <v>0</v>
      </c>
      <c r="E17" s="497">
        <f>IF(ISERROR(('A7-CFlow'!D6+'A7-CFlow'!D7+'A7-CFlow'!D22+'A7-CFlow'!D23)/SUM('A4-FinPerf RE'!D5:D11)),0,('A7-CFlow'!D6+'A7-CFlow'!D7+'A7-CFlow'!D22+'A7-CFlow'!D23)/(SUM('A4-FinPerf RE'!D5:D11)))</f>
        <v>0</v>
      </c>
      <c r="F17" s="499">
        <f>IF(ISERROR(('A7-CFlow'!E6+'A7-CFlow'!E7+'A7-CFlow'!E22+'A7-CFlow'!E23)/SUM('A4-FinPerf RE'!E5:E11)),0,('A7-CFlow'!E6+'A7-CFlow'!E7+'A7-CFlow'!E22+'A7-CFlow'!E23)/(SUM('A4-FinPerf RE'!E5:E11)))</f>
        <v>3.5331318027470485E-2</v>
      </c>
      <c r="G17" s="497">
        <f>IF(ISERROR(('A7-CFlow'!F6+'A7-CFlow'!F7+'A7-CFlow'!F22+'A7-CFlow'!F23)/SUM('A4-FinPerf RE'!F5:F11)),0,('A7-CFlow'!F6+'A7-CFlow'!F7+'A7-CFlow'!F22+'A7-CFlow'!F23)/(SUM('A4-FinPerf RE'!F5:F11)))</f>
        <v>4.4658596322529678E-2</v>
      </c>
      <c r="H17" s="498">
        <f>IF(ISERROR(('A7-CFlow'!G6+'A7-CFlow'!G7+'A7-CFlow'!G22+'A7-CFlow'!G23)/SUM('A4-FinPerf RE'!G5:G11)),0,('A7-CFlow'!G6+'A7-CFlow'!G7+'A7-CFlow'!G22+'A7-CFlow'!G23)/(SUM('A4-FinPerf RE'!G5:G11)))</f>
        <v>5.0812157009472281E-2</v>
      </c>
      <c r="I17" s="500">
        <f>IF(ISERROR(('A7-CFlow'!H6+'A7-CFlow'!H7+'A7-CFlow'!H22+'A7-CFlow'!H23)/SUM('A4-FinPerf RE'!H5:H11)),0,('A7-CFlow'!H6+'A7-CFlow'!H7+'A7-CFlow'!H22+'A7-CFlow'!H23)/(SUM('A4-FinPerf RE'!H5:H11)))</f>
        <v>5.0812157009472281E-2</v>
      </c>
      <c r="J17" s="496">
        <f>IF(ISERROR(('A7-CFlow'!I6+'A7-CFlow'!I7+'A7-CFlow'!I22+'A7-CFlow'!I23)/SUM('A4-FinPerf RE'!I5:I11)),0,('A7-CFlow'!I6+'A7-CFlow'!I7+'A7-CFlow'!I22+'A7-CFlow'!I23)/(SUM('A4-FinPerf RE'!I5:I11)))</f>
        <v>0.1853568270950946</v>
      </c>
      <c r="K17" s="497">
        <f>IF(ISERROR(('A7-CFlow'!J6+'A7-CFlow'!J7+'A7-CFlow'!J22+'A7-CFlow'!J23)/SUM('A4-FinPerf RE'!J5:J11)),0,('A7-CFlow'!J6+'A7-CFlow'!J7+'A7-CFlow'!J22+'A7-CFlow'!J23)/(SUM('A4-FinPerf RE'!J5:J11)))</f>
        <v>0.36317883077265606</v>
      </c>
      <c r="L17" s="498">
        <f>IF(ISERROR(('A7-CFlow'!K6+'A7-CFlow'!K7+'A7-CFlow'!K22+'A7-CFlow'!K23)/SUM('A4-FinPerf RE'!K5:K11)),0,('A7-CFlow'!K6+'A7-CFlow'!K7+'A7-CFlow'!K22+'A7-CFlow'!K23)/(SUM('A4-FinPerf RE'!K5:K11)))</f>
        <v>0.363178830772656</v>
      </c>
    </row>
    <row r="18" spans="1:13" ht="25.5" customHeight="1" x14ac:dyDescent="0.25">
      <c r="A18" s="476" t="s">
        <v>2230</v>
      </c>
      <c r="B18" s="470"/>
      <c r="C18" s="496">
        <f>IF(ISERROR(('A7-CFlow'!C6+'A7-CFlow'!C7)/SUM('A4-FinPerf RE'!C5:C11)),0,(('A7-CFlow'!C6+'A7-CFlow'!C7)/SUM('A4-FinPerf RE'!C5:C11)))</f>
        <v>0</v>
      </c>
      <c r="D18" s="497">
        <f>IF(ISERROR(('A7-CFlow'!D6+'A7-CFlow'!D7)/SUM('A4-FinPerf RE'!D5:D11)),0,(('A7-CFlow'!D6+'A7-CFlow'!D7)/SUM('A4-FinPerf RE'!D5:D11)))</f>
        <v>0</v>
      </c>
      <c r="E18" s="500">
        <f>IF(ISERROR(('A7-CFlow'!E6+'A7-CFlow'!E7)/SUM('A4-FinPerf RE'!E5:E11)),0,(('A7-CFlow'!E6+'A7-CFlow'!E7)/SUM('A4-FinPerf RE'!E5:E11)))</f>
        <v>3.5331318027470485E-2</v>
      </c>
      <c r="F18" s="499">
        <f>IF(ISERROR(('A7-CFlow'!F6+'A7-CFlow'!F7)/SUM('A4-FinPerf RE'!F5:F11)),0,(('A7-CFlow'!F6+'A7-CFlow'!F7)/SUM('A4-FinPerf RE'!F5:F11)))</f>
        <v>4.4658596322529678E-2</v>
      </c>
      <c r="G18" s="497">
        <f>IF(ISERROR(('A7-CFlow'!G6+'A7-CFlow'!G7)/SUM('A4-FinPerf RE'!G5:G11)),0,(('A7-CFlow'!G6+'A7-CFlow'!G7)/SUM('A4-FinPerf RE'!G5:G11)))</f>
        <v>5.0812157009472281E-2</v>
      </c>
      <c r="H18" s="498">
        <f>IF(ISERROR(('A7-CFlow'!H6+'A7-CFlow'!H7)/SUM('A4-FinPerf RE'!H5:H11)),0,(('A7-CFlow'!H6+'A7-CFlow'!H7)/SUM('A4-FinPerf RE'!H5:H11)))</f>
        <v>5.0812157009472281E-2</v>
      </c>
      <c r="I18" s="500">
        <f>IF(ISERROR(('A7-CFlow'!I6+'A7-CFlow'!I7)/SUM('A4-FinPerf RE'!I5:I11)),0,(('A7-CFlow'!I6+'A7-CFlow'!I7)/SUM('A4-FinPerf RE'!I5:I11)))</f>
        <v>0.1853568270950946</v>
      </c>
      <c r="J18" s="496">
        <f>IF(ISERROR(('A7-CFlow'!J6+'A7-CFlow'!J7)/SUM('A4-FinPerf RE'!J5:J11)),0,(('A7-CFlow'!J6+'A7-CFlow'!J7)/SUM('A4-FinPerf RE'!J5:J11)))</f>
        <v>0.36317883077265606</v>
      </c>
      <c r="K18" s="497">
        <f>IF(ISERROR(('A7-CFlow'!K6+'A7-CFlow'!K7)/SUM('A4-FinPerf RE'!K5:K11)),0,(('A7-CFlow'!K6+'A7-CFlow'!K7)/SUM('A4-FinPerf RE'!K5:K11)))</f>
        <v>0.363178830772656</v>
      </c>
      <c r="L18" s="498">
        <f>IF(ISERROR(('A7-CFlow'!L6+'A7-CFlow'!L7)/SUM('A4-FinPerf RE'!L5:L11)),0,(('A7-CFlow'!L6+'A7-CFlow'!L7)/SUM('A4-FinPerf RE'!L5:L11)))</f>
        <v>0.36317883077265606</v>
      </c>
    </row>
    <row r="19" spans="1:13" ht="25.5" x14ac:dyDescent="0.25">
      <c r="A19" s="476" t="s">
        <v>489</v>
      </c>
      <c r="B19" s="470" t="s">
        <v>1348</v>
      </c>
      <c r="C19" s="471">
        <f>IF(ISERROR(('A6-FinPos'!C8+'A6-FinPos'!C9+'A6-FinPos'!C10+'A6-FinPos'!C15)/'A4-FinPerf RE'!C22),0,(('A6-FinPos'!C8+'A6-FinPos'!C9+'A6-FinPos'!C10+'A6-FinPos'!C15)/'A4-FinPerf RE'!C22))</f>
        <v>0.17244527119344402</v>
      </c>
      <c r="D19" s="472">
        <f>IF(ISERROR(('A6-FinPos'!D8+'A6-FinPos'!D9+'A6-FinPos'!D10+'A6-FinPos'!D15)/'A4-FinPerf RE'!D22),0,(('A6-FinPos'!D8+'A6-FinPos'!D9+'A6-FinPos'!D10+'A6-FinPos'!D15)/'A4-FinPerf RE'!D22))</f>
        <v>0.19720888495981523</v>
      </c>
      <c r="E19" s="473">
        <f>IF(ISERROR(('A6-FinPos'!E8+'A6-FinPos'!E9+'A6-FinPos'!E10+'A6-FinPos'!E15)/'A4-FinPerf RE'!E22),0,(('A6-FinPos'!E8+'A6-FinPos'!E9+'A6-FinPos'!E10+'A6-FinPos'!E15)/'A4-FinPerf RE'!E22))</f>
        <v>1.9352036955111361E-2</v>
      </c>
      <c r="F19" s="474">
        <f>IF(ISERROR(('A6-FinPos'!F8+'A6-FinPos'!F9+'A6-FinPos'!F10+'A6-FinPos'!F15)/'A4-FinPerf RE'!F22),0,(('A6-FinPos'!F8+'A6-FinPos'!F9+'A6-FinPos'!F10+'A6-FinPos'!F15)/'A4-FinPerf RE'!F22))</f>
        <v>0.53960772230339693</v>
      </c>
      <c r="G19" s="472">
        <f>IF(ISERROR(('A6-FinPos'!G8+'A6-FinPos'!G9+'A6-FinPos'!G10+'A6-FinPos'!G15)/'A4-FinPerf RE'!G22),0,(('A6-FinPos'!G8+'A6-FinPos'!G9+'A6-FinPos'!G10+'A6-FinPos'!G15)/'A4-FinPerf RE'!G22))</f>
        <v>0.50187152519780642</v>
      </c>
      <c r="H19" s="473">
        <f>IF(ISERROR(('A6-FinPos'!H8+'A6-FinPos'!H9+'A6-FinPos'!H10+'A6-FinPos'!H15)/'A4-FinPerf RE'!H22),0,(('A6-FinPos'!H8+'A6-FinPos'!H9+'A6-FinPos'!H10+'A6-FinPos'!H15)/'A4-FinPerf RE'!H22))</f>
        <v>0.50187152519780642</v>
      </c>
      <c r="I19" s="475">
        <f>IF(ISERROR(('A6-FinPos'!I8+'A6-FinPos'!I9+'A6-FinPos'!I10+'A6-FinPos'!I15)/'A4-FinPerf RE'!I22),0,(('A6-FinPos'!I8+'A6-FinPos'!I9+'A6-FinPos'!I10+'A6-FinPos'!I15)/'A4-FinPerf RE'!I22))</f>
        <v>1.5868218669291201</v>
      </c>
      <c r="J19" s="471">
        <f>IF(ISERROR(('A6-FinPos'!J8+'A6-FinPos'!J9+'A6-FinPos'!J10+'A6-FinPos'!J15)/'A4-FinPerf RE'!J22),0,(('A6-FinPos'!J8+'A6-FinPos'!J9+'A6-FinPos'!J10+'A6-FinPos'!J15)/'A4-FinPerf RE'!J22))</f>
        <v>0.28959116988340505</v>
      </c>
      <c r="K19" s="472">
        <f>IF(ISERROR(('A6-FinPos'!K8+'A6-FinPos'!K9+'A6-FinPos'!K10+'A6-FinPos'!K15)/'A4-FinPerf RE'!K22),0,(('A6-FinPos'!K8+'A6-FinPos'!K9+'A6-FinPos'!K10+'A6-FinPos'!K15)/'A4-FinPerf RE'!K22))</f>
        <v>0.28959116988340505</v>
      </c>
      <c r="L19" s="473">
        <f>IF(ISERROR(('A6-FinPos'!L8+'A6-FinPos'!L9+'A6-FinPos'!L10+'A6-FinPos'!L15)/'A4-FinPerf RE'!L22),0,(('A6-FinPos'!L8+'A6-FinPos'!L9+'A6-FinPos'!L10+'A6-FinPos'!L15)/'A4-FinPerf RE'!L22))</f>
        <v>0.28959116988340511</v>
      </c>
    </row>
    <row r="20" spans="1:13" ht="25.5" x14ac:dyDescent="0.25">
      <c r="A20" s="476" t="s">
        <v>1709</v>
      </c>
      <c r="B20" s="470" t="s">
        <v>560</v>
      </c>
      <c r="C20" s="1749"/>
      <c r="D20" s="1750"/>
      <c r="E20" s="1707"/>
      <c r="F20" s="1751"/>
      <c r="G20" s="1750"/>
      <c r="H20" s="1707"/>
      <c r="I20" s="1752">
        <v>0.06</v>
      </c>
      <c r="J20" s="1749"/>
      <c r="K20" s="1750"/>
      <c r="L20" s="1707"/>
    </row>
    <row r="21" spans="1:13" x14ac:dyDescent="0.25">
      <c r="A21" s="480" t="s">
        <v>785</v>
      </c>
      <c r="B21" s="470"/>
      <c r="C21" s="481"/>
      <c r="D21" s="482"/>
      <c r="E21" s="483"/>
      <c r="F21" s="484"/>
      <c r="G21" s="482"/>
      <c r="H21" s="483"/>
      <c r="I21" s="485"/>
      <c r="J21" s="481"/>
      <c r="K21" s="482"/>
      <c r="L21" s="483"/>
    </row>
    <row r="22" spans="1:13" ht="24.75" customHeight="1" x14ac:dyDescent="0.25">
      <c r="A22" s="476" t="s">
        <v>786</v>
      </c>
      <c r="B22" s="470" t="s">
        <v>338</v>
      </c>
      <c r="C22" s="1749"/>
      <c r="D22" s="1750"/>
      <c r="E22" s="1707"/>
      <c r="F22" s="1751"/>
      <c r="G22" s="1750"/>
      <c r="H22" s="1707"/>
      <c r="I22" s="1752"/>
      <c r="J22" s="1749"/>
      <c r="K22" s="1750"/>
      <c r="L22" s="1707"/>
    </row>
    <row r="23" spans="1:13" x14ac:dyDescent="0.25">
      <c r="A23" s="476" t="s">
        <v>2199</v>
      </c>
      <c r="B23" s="470"/>
      <c r="C23" s="496">
        <f>IF(ISERROR('SA3'!C35/'A7-CFlow'!C40), 0, ('SA3'!C35/'A7-CFlow'!C40))</f>
        <v>1.2432036421444685</v>
      </c>
      <c r="D23" s="497">
        <f>IF(ISERROR('SA3'!D35/'A7-CFlow'!D40), 0, ('SA3'!D35/'A7-CFlow'!D40))</f>
        <v>21.48213844500215</v>
      </c>
      <c r="E23" s="498">
        <f>IF(ISERROR('SA3'!E35/'A7-CFlow'!E40), 0, ('SA3'!E35/'A7-CFlow'!E40))</f>
        <v>3.5929672036867637</v>
      </c>
      <c r="F23" s="499">
        <f>IF(ISERROR('SA3'!F35/'A7-CFlow'!F40), 0, ('SA3'!F35/'A7-CFlow'!F40))</f>
        <v>1.1782854721703411</v>
      </c>
      <c r="G23" s="497">
        <f>IF(ISERROR('SA3'!G35/'A7-CFlow'!G40), 0, ('SA3'!G35/'A7-CFlow'!G40))</f>
        <v>-0.22008616942455725</v>
      </c>
      <c r="H23" s="498">
        <f>IF(ISERROR('SA3'!H35/'A7-CFlow'!H40), 0, ('SA3'!H35/'A7-CFlow'!H40))</f>
        <v>-0.22008616942455725</v>
      </c>
      <c r="I23" s="500">
        <f>IF(ISERROR('SA3'!I35/'A7-CFlow'!I40), 0, ('SA3'!I35/'A7-CFlow'!I40))</f>
        <v>1.3606657865278746</v>
      </c>
      <c r="J23" s="496">
        <f>IF(ISERROR('SA3'!J35/'A7-CFlow'!J40), 0, ('SA3'!J35/'A7-CFlow'!J40))</f>
        <v>560.00123200287067</v>
      </c>
      <c r="K23" s="497">
        <f>IF(ISERROR('SA3'!K35/'A7-CFlow'!K40), 0, ('SA3'!K35/'A7-CFlow'!K40))</f>
        <v>104.89672148502507</v>
      </c>
      <c r="L23" s="498">
        <f>IF(ISERROR('SA3'!L35/'A7-CFlow'!L40), 0, ('SA3'!L35/'A7-CFlow'!L40))</f>
        <v>43.947825990212195</v>
      </c>
      <c r="M23" s="369"/>
    </row>
    <row r="24" spans="1:13" ht="8.25" customHeight="1" x14ac:dyDescent="0.25">
      <c r="A24" s="476"/>
      <c r="B24" s="470"/>
      <c r="C24" s="1753"/>
      <c r="D24" s="1754"/>
      <c r="E24" s="1755"/>
      <c r="F24" s="1756"/>
      <c r="G24" s="1754"/>
      <c r="H24" s="1755"/>
      <c r="I24" s="1757"/>
      <c r="J24" s="1753"/>
      <c r="K24" s="1754"/>
      <c r="L24" s="1755"/>
      <c r="M24" s="369"/>
    </row>
    <row r="25" spans="1:13" x14ac:dyDescent="0.25">
      <c r="A25" s="480" t="s">
        <v>787</v>
      </c>
      <c r="B25" s="470"/>
      <c r="C25" s="481"/>
      <c r="D25" s="482"/>
      <c r="E25" s="483"/>
      <c r="F25" s="484"/>
      <c r="G25" s="482"/>
      <c r="H25" s="483"/>
      <c r="I25" s="485"/>
      <c r="J25" s="481"/>
      <c r="K25" s="482"/>
      <c r="L25" s="483"/>
      <c r="M25" s="369"/>
    </row>
    <row r="26" spans="1:13" ht="21" customHeight="1" x14ac:dyDescent="0.25">
      <c r="A26" s="2809" t="s">
        <v>341</v>
      </c>
      <c r="B26" s="1350" t="s">
        <v>2258</v>
      </c>
      <c r="C26" s="2564">
        <v>0</v>
      </c>
      <c r="D26" s="2564">
        <v>0</v>
      </c>
      <c r="E26" s="2564">
        <v>0</v>
      </c>
      <c r="F26" s="2564">
        <v>0</v>
      </c>
      <c r="G26" s="2564">
        <v>0</v>
      </c>
      <c r="H26" s="2564">
        <v>0</v>
      </c>
      <c r="I26" s="2564">
        <v>0</v>
      </c>
      <c r="J26" s="2564">
        <v>0</v>
      </c>
      <c r="K26" s="2564">
        <v>0</v>
      </c>
      <c r="L26" s="2564">
        <v>0</v>
      </c>
    </row>
    <row r="27" spans="1:13" ht="21" customHeight="1" x14ac:dyDescent="0.25">
      <c r="A27" s="2809"/>
      <c r="B27" s="1350" t="s">
        <v>2257</v>
      </c>
      <c r="C27" s="2564">
        <v>0</v>
      </c>
      <c r="D27" s="2564">
        <v>0</v>
      </c>
      <c r="E27" s="2564">
        <v>0</v>
      </c>
      <c r="F27" s="2564">
        <v>0</v>
      </c>
      <c r="G27" s="2564">
        <v>0</v>
      </c>
      <c r="H27" s="2564">
        <v>0</v>
      </c>
      <c r="I27" s="2564">
        <v>0</v>
      </c>
      <c r="J27" s="2564">
        <v>0</v>
      </c>
      <c r="K27" s="2564">
        <v>0</v>
      </c>
      <c r="L27" s="2564">
        <v>0</v>
      </c>
    </row>
    <row r="28" spans="1:13" ht="41.25" customHeight="1" x14ac:dyDescent="0.25">
      <c r="A28" s="2810"/>
      <c r="B28" s="2607" t="s">
        <v>2266</v>
      </c>
      <c r="C28" s="2564">
        <v>0</v>
      </c>
      <c r="D28" s="2564">
        <v>0</v>
      </c>
      <c r="E28" s="2564">
        <v>0</v>
      </c>
      <c r="F28" s="2564">
        <v>0</v>
      </c>
      <c r="G28" s="2564">
        <v>0</v>
      </c>
      <c r="H28" s="2564">
        <v>0</v>
      </c>
      <c r="I28" s="2564">
        <v>0</v>
      </c>
      <c r="J28" s="2564">
        <v>0</v>
      </c>
      <c r="K28" s="2564">
        <v>0</v>
      </c>
      <c r="L28" s="2564">
        <v>0</v>
      </c>
    </row>
    <row r="29" spans="1:13" ht="21" customHeight="1" x14ac:dyDescent="0.25">
      <c r="A29" s="2808" t="s">
        <v>1277</v>
      </c>
      <c r="B29" s="2608" t="s">
        <v>2259</v>
      </c>
      <c r="C29" s="2569"/>
      <c r="D29" s="1621"/>
      <c r="E29" s="1622"/>
      <c r="F29" s="1624"/>
      <c r="G29" s="1621"/>
      <c r="H29" s="1622"/>
      <c r="I29" s="1622"/>
      <c r="J29" s="2569"/>
      <c r="K29" s="1621"/>
      <c r="L29" s="1622"/>
    </row>
    <row r="30" spans="1:13" ht="21" customHeight="1" x14ac:dyDescent="0.25">
      <c r="A30" s="2809"/>
      <c r="B30" s="1350" t="s">
        <v>2257</v>
      </c>
      <c r="C30" s="2564"/>
      <c r="D30" s="2565"/>
      <c r="E30" s="2566">
        <v>76916613</v>
      </c>
      <c r="F30" s="2567"/>
      <c r="G30" s="2565"/>
      <c r="H30" s="2566"/>
      <c r="I30" s="2566"/>
      <c r="J30" s="2568"/>
      <c r="K30" s="2565"/>
      <c r="L30" s="2566"/>
    </row>
    <row r="31" spans="1:13" ht="41.25" customHeight="1" x14ac:dyDescent="0.25">
      <c r="A31" s="2810"/>
      <c r="B31" s="2607" t="s">
        <v>2266</v>
      </c>
      <c r="C31" s="1621"/>
      <c r="D31" s="1621"/>
      <c r="E31" s="1626"/>
      <c r="F31" s="2569"/>
      <c r="G31" s="1621"/>
      <c r="H31" s="1626"/>
      <c r="I31" s="1622"/>
      <c r="J31" s="2569"/>
      <c r="K31" s="1621"/>
      <c r="L31" s="1626"/>
    </row>
    <row r="32" spans="1:13" ht="25.5" x14ac:dyDescent="0.25">
      <c r="A32" s="476" t="s">
        <v>492</v>
      </c>
      <c r="B32" s="470" t="s">
        <v>1647</v>
      </c>
      <c r="C32" s="496">
        <f>IF(ISERROR('A4-FinPerf RE'!C25/'A4-FinPerf RE'!C22),0,('A4-FinPerf RE'!C25/'A4-FinPerf RE'!C22))</f>
        <v>0.17269134637296155</v>
      </c>
      <c r="D32" s="497">
        <f>IF(ISERROR('A4-FinPerf RE'!D25/'A4-FinPerf RE'!D22),0,('A4-FinPerf RE'!D25/'A4-FinPerf RE'!D22))</f>
        <v>0.17111981588467023</v>
      </c>
      <c r="E32" s="498">
        <f>IF(ISERROR('A4-FinPerf RE'!E25/'A4-FinPerf RE'!E22),0,('A4-FinPerf RE'!E25/'A4-FinPerf RE'!E22))</f>
        <v>0.23516496553188629</v>
      </c>
      <c r="F32" s="499">
        <f>IF(ISERROR('A4-FinPerf RE'!F25/'A4-FinPerf RE'!F22),0,('A4-FinPerf RE'!F25/'A4-FinPerf RE'!F22))</f>
        <v>0.27838125080491</v>
      </c>
      <c r="G32" s="497">
        <f>IF(ISERROR('A4-FinPerf RE'!G25/'A4-FinPerf RE'!G22),0,('A4-FinPerf RE'!G25/'A4-FinPerf RE'!G22))</f>
        <v>0.25524185097918772</v>
      </c>
      <c r="H32" s="498">
        <f>IF(ISERROR('A4-FinPerf RE'!H25/'A4-FinPerf RE'!H22),0,('A4-FinPerf RE'!H25/'A4-FinPerf RE'!H22))</f>
        <v>0.25524185097918772</v>
      </c>
      <c r="I32" s="500">
        <f>IF(ISERROR('A4-FinPerf RE'!I25/'A4-FinPerf RE'!I22),0,('A4-FinPerf RE'!I25/'A4-FinPerf RE'!I22))</f>
        <v>0.20938321425247094</v>
      </c>
      <c r="J32" s="496">
        <f>IF(ISERROR('A4-FinPerf RE'!J25/'A4-FinPerf RE'!J22),0,('A4-FinPerf RE'!J25/'A4-FinPerf RE'!J22))</f>
        <v>0.21958340563048684</v>
      </c>
      <c r="K32" s="497">
        <f>IF(ISERROR('A4-FinPerf RE'!K25/'A4-FinPerf RE'!K22),0,('A4-FinPerf RE'!K25/'A4-FinPerf RE'!K22))</f>
        <v>0.21958340563048678</v>
      </c>
      <c r="L32" s="498">
        <f>IF(ISERROR('A4-FinPerf RE'!L25/'A4-FinPerf RE'!L22),0,('A4-FinPerf RE'!L25/'A4-FinPerf RE'!L22))</f>
        <v>0.21958340563048684</v>
      </c>
    </row>
    <row r="33" spans="1:13" ht="25.5" x14ac:dyDescent="0.25">
      <c r="A33" s="476" t="s">
        <v>721</v>
      </c>
      <c r="B33" s="470" t="s">
        <v>722</v>
      </c>
      <c r="C33" s="496">
        <f>IF(ISERROR('SA22'!C102/'A4-FinPerf RE'!C22),0,('SA22'!C102/'A4-FinPerf RE'!C22))</f>
        <v>0</v>
      </c>
      <c r="D33" s="497">
        <f>IF(ISERROR('SA22'!D102/'A4-FinPerf RE'!D22),0,('SA22'!D102/'A4-FinPerf RE'!D22))</f>
        <v>0.27774347518709891</v>
      </c>
      <c r="E33" s="498">
        <f>IF(ISERROR('SA22'!E102/'A4-FinPerf RE'!E22),0,('SA22'!E102/'A4-FinPerf RE'!E22))</f>
        <v>0.27849745465912329</v>
      </c>
      <c r="F33" s="499">
        <f>IF(ISERROR('SA22'!F102/'A4-FinPerf RE'!F22),0,('SA22'!F102/'A4-FinPerf RE'!F22))</f>
        <v>0.33098416142304404</v>
      </c>
      <c r="G33" s="497">
        <f>IF(ISERROR('SA22'!G102/'A4-FinPerf RE'!G22),0,('SA22'!G102/'A4-FinPerf RE'!G22))</f>
        <v>0.30227483012836615</v>
      </c>
      <c r="H33" s="498">
        <f>IF(ISERROR('SA22'!H102/'A4-FinPerf RE'!H22),0,('SA22'!H102/'A4-FinPerf RE'!H22))</f>
        <v>0.30227483012836615</v>
      </c>
      <c r="I33" s="500"/>
      <c r="J33" s="496">
        <f>IF(ISERROR('SA22'!I102/'A4-FinPerf RE'!J22),0,('SA22'!I102/'A4-FinPerf RE'!J22))</f>
        <v>0.25735161184192223</v>
      </c>
      <c r="K33" s="497">
        <f>IF(ISERROR('SA22'!J102/'A4-FinPerf RE'!K22),0,('SA22'!J102/'A4-FinPerf RE'!K22))</f>
        <v>0.25703874585631087</v>
      </c>
      <c r="L33" s="498">
        <f>IF(ISERROR('SA22'!K102/'A4-FinPerf RE'!L22),0,('SA22'!K102/'A4-FinPerf RE'!L22))</f>
        <v>0.25703874585631092</v>
      </c>
    </row>
    <row r="34" spans="1:13" ht="25.5" x14ac:dyDescent="0.25">
      <c r="A34" s="476" t="s">
        <v>595</v>
      </c>
      <c r="B34" s="470" t="s">
        <v>596</v>
      </c>
      <c r="C34" s="497">
        <f>IF(ISERROR('A9-Asset'!C69/'A4-FinPerf RE'!C22),0,('A9-Asset'!C69/'A4-FinPerf RE'!C22))</f>
        <v>0</v>
      </c>
      <c r="D34" s="497">
        <f>IF(ISERROR('A9-Asset'!D69/'A4-FinPerf RE'!D22),0,('A9-Asset'!D69/'A4-FinPerf RE'!D22))</f>
        <v>6.9563304288183678E-2</v>
      </c>
      <c r="E34" s="498">
        <f>IF(ISERROR('A9-Asset'!E69/'A4-FinPerf RE'!E22),0,('A9-Asset'!E69/'A4-FinPerf RE'!E22))</f>
        <v>4.7515593961693144E-2</v>
      </c>
      <c r="F34" s="499">
        <f>IF(ISERROR('A9-Asset'!F69/'A4-FinPerf RE'!F22),0,('A9-Asset'!F69/'A4-FinPerf RE'!F22))</f>
        <v>4.9181632379570461E-2</v>
      </c>
      <c r="G34" s="497">
        <f>IF(ISERROR('A9-Asset'!G69/'A4-FinPerf RE'!G22),0,('A9-Asset'!G69/'A4-FinPerf RE'!G22))</f>
        <v>3.3642435292349719E-2</v>
      </c>
      <c r="H34" s="498">
        <f>IF(ISERROR('A9-Asset'!H69/'A4-FinPerf RE'!H22),0,('A9-Asset'!H69/'A4-FinPerf RE'!H22))</f>
        <v>3.3642435292349719E-2</v>
      </c>
      <c r="I34" s="500"/>
      <c r="J34" s="496">
        <f>IF(ISERROR('A9-Asset'!I69/'A4-FinPerf RE'!J22),0,('A9-Asset'!I69/'A4-FinPerf RE'!J22))</f>
        <v>3.9051865961879345E-2</v>
      </c>
      <c r="K34" s="497">
        <f>IF(ISERROR('A9-Asset'!J69/'A4-FinPerf RE'!K22),0,('A9-Asset'!J69/'A4-FinPerf RE'!K22))</f>
        <v>3.9051865961879345E-2</v>
      </c>
      <c r="L34" s="2164">
        <f>IF(ISERROR('A9-Asset'!K69/'A4-FinPerf RE'!L22),0,('A9-Asset'!K69/'A4-FinPerf RE'!L22))</f>
        <v>3.9051865961879345E-2</v>
      </c>
    </row>
    <row r="35" spans="1:13" ht="25.5" x14ac:dyDescent="0.25">
      <c r="A35" s="476" t="s">
        <v>1434</v>
      </c>
      <c r="B35" s="470" t="s">
        <v>597</v>
      </c>
      <c r="C35" s="496">
        <f>IF(ISERROR(('A4-FinPerf RE'!C29+'A4-FinPerf RE'!C28)/'A4-FinPerf RE'!C22),0,(('A4-FinPerf RE'!C29+'A4-FinPerf RE'!C28)/'A4-FinPerf RE'!C22))</f>
        <v>0.16791900808634991</v>
      </c>
      <c r="D35" s="497">
        <f>IF(ISERROR(('A4-FinPerf RE'!D29+'A4-FinPerf RE'!D28)/'A4-FinPerf RE'!D22),0,(('A4-FinPerf RE'!D29+'A4-FinPerf RE'!D28)/'A4-FinPerf RE'!D22))</f>
        <v>0.39878944418480555</v>
      </c>
      <c r="E35" s="498">
        <f>IF(ISERROR(('A4-FinPerf RE'!E29+'A4-FinPerf RE'!E28)/'A4-FinPerf RE'!E22),0,(('A4-FinPerf RE'!E29+'A4-FinPerf RE'!E28)/'A4-FinPerf RE'!E22))</f>
        <v>0.31759936874721689</v>
      </c>
      <c r="F35" s="499">
        <f>IF(ISERROR(('A4-FinPerf RE'!F29+'A4-FinPerf RE'!F28)/'A4-FinPerf RE'!F22),0,(('A4-FinPerf RE'!F29+'A4-FinPerf RE'!F28)/'A4-FinPerf RE'!F22))</f>
        <v>0.47965013041344895</v>
      </c>
      <c r="G35" s="497">
        <f>IF(ISERROR(('A4-FinPerf RE'!G29+'A4-FinPerf RE'!G28)/'A4-FinPerf RE'!G22),0,(('A4-FinPerf RE'!G29+'A4-FinPerf RE'!G28)/'A4-FinPerf RE'!G22))</f>
        <v>0.1118570512295889</v>
      </c>
      <c r="H35" s="498">
        <f>IF(ISERROR(('A4-FinPerf RE'!H29+'A4-FinPerf RE'!H28)/'A4-FinPerf RE'!H22),0,(('A4-FinPerf RE'!H29+'A4-FinPerf RE'!H28)/'A4-FinPerf RE'!H22))</f>
        <v>0.1118570512295889</v>
      </c>
      <c r="I35" s="500">
        <f>IF(ISERROR(('A4-FinPerf RE'!I29+'A4-FinPerf RE'!I28)/'A4-FinPerf RE'!I22),0,(('A4-FinPerf RE'!I29+'A4-FinPerf RE'!I28)/'A4-FinPerf RE'!I22))</f>
        <v>0</v>
      </c>
      <c r="J35" s="496">
        <f>IF(ISERROR(('A4-FinPerf RE'!J29+'A4-FinPerf RE'!J28)/'A4-FinPerf RE'!J22),0,(('A4-FinPerf RE'!J29+'A4-FinPerf RE'!J28)/'A4-FinPerf RE'!J22))</f>
        <v>0.30889657755004596</v>
      </c>
      <c r="K35" s="497">
        <f>IF(ISERROR(('A4-FinPerf RE'!K29+'A4-FinPerf RE'!K28)/'A4-FinPerf RE'!K22),0,(('A4-FinPerf RE'!K29+'A4-FinPerf RE'!K28)/'A4-FinPerf RE'!K22))</f>
        <v>0.30889657755004596</v>
      </c>
      <c r="L35" s="498">
        <f>IF(ISERROR(('A4-FinPerf RE'!L29+'A4-FinPerf RE'!L28)/'A4-FinPerf RE'!L22),0,(('A4-FinPerf RE'!L29+'A4-FinPerf RE'!L28)/'A4-FinPerf RE'!L22))</f>
        <v>0.30889657755004601</v>
      </c>
    </row>
    <row r="36" spans="1:13" ht="25.5" x14ac:dyDescent="0.25">
      <c r="A36" s="501" t="s">
        <v>1630</v>
      </c>
      <c r="B36" s="502"/>
      <c r="C36" s="503"/>
      <c r="D36" s="504"/>
      <c r="E36" s="505"/>
      <c r="F36" s="506"/>
      <c r="G36" s="504"/>
      <c r="H36" s="505"/>
      <c r="I36" s="507"/>
      <c r="J36" s="503"/>
      <c r="K36" s="504"/>
      <c r="L36" s="505"/>
    </row>
    <row r="37" spans="1:13" ht="38.25" x14ac:dyDescent="0.25">
      <c r="A37" s="476" t="s">
        <v>1631</v>
      </c>
      <c r="B37" s="470" t="s">
        <v>1710</v>
      </c>
      <c r="C37" s="486">
        <f>IF(ISERROR(('A4-FinPerf RE'!C22-'A4-FinPerf RE'!C19)/('A7-CFlow'!D11-'A7-CFlow'!D35)),0,(('A4-FinPerf RE'!C22-'A4-FinPerf RE'!C19)/('A7-CFlow'!D11-'A7-CFlow'!D35)))</f>
        <v>15.466801414447728</v>
      </c>
      <c r="D37" s="487">
        <f>IF(ISERROR(('A4-FinPerf RE'!D22-'A4-FinPerf RE'!D19)/('A7-CFlow'!E11-'A7-CFlow'!E35)),0,(('A4-FinPerf RE'!D22-'A4-FinPerf RE'!D19)/('A7-CFlow'!E11-'A7-CFlow'!E35)))</f>
        <v>50.348331570142669</v>
      </c>
      <c r="E37" s="488">
        <f>IF(ISERROR(('A4-FinPerf RE'!E22-'A4-FinPerf RE'!E19)/('A7-CFlow'!F11-'A7-CFlow'!F35)),0,(('A4-FinPerf RE'!E22-'A4-FinPerf RE'!E19)/('A7-CFlow'!F11-'A7-CFlow'!F35)))</f>
        <v>214.99961542535664</v>
      </c>
      <c r="F37" s="489">
        <f>IF(ISERROR(('A4-FinPerf RE'!F22-'A4-FinPerf RE'!F19)/('A7-CFlow'!G11-'A7-CFlow'!G35)),0,(('A4-FinPerf RE'!F22-'A4-FinPerf RE'!F19)/('A7-CFlow'!G11-'A7-CFlow'!G35)))</f>
        <v>44.900455159876564</v>
      </c>
      <c r="G37" s="487">
        <f>F37</f>
        <v>44.900455159876564</v>
      </c>
      <c r="H37" s="488">
        <f>G37</f>
        <v>44.900455159876564</v>
      </c>
      <c r="I37" s="490">
        <f>IF(ISERROR(('A4-FinPerf RE'!I22-'A4-FinPerf RE'!I19)/('A7-CFlow'!J11-'A7-CFlow'!J35)),0,(('A4-FinPerf RE'!I22-'A4-FinPerf RE'!I19)/('A7-CFlow'!J11-'A7-CFlow'!J35)))</f>
        <v>27.769856691939939</v>
      </c>
      <c r="J37" s="486">
        <f>IF(ISERROR(('A4-FinPerf RE'!J22-'A4-FinPerf RE'!J19)/('A7-CFlow'!K11-'A7-CFlow'!K35)),0,(('A4-FinPerf RE'!J22-'A4-FinPerf RE'!J19)/('A7-CFlow'!K11-'A7-CFlow'!K35)))</f>
        <v>61.526596729536472</v>
      </c>
      <c r="K37" s="487">
        <f>IF(ISERROR(('A4-FinPerf RE'!K22-'A4-FinPerf RE'!K19)/('A7-CFlow'!L11-'A7-CFlow'!L35)),0,(('A4-FinPerf RE'!K22-'A4-FinPerf RE'!K19)/('A7-CFlow'!L11-'A7-CFlow'!L35)))</f>
        <v>61.701388197518121</v>
      </c>
      <c r="L37" s="488">
        <f>IF(ISERROR(('A4-FinPerf RE'!L22-'A4-FinPerf RE'!L19)/('A7-CFlow'!L11-'A7-CFlow'!L35)),0,(('A4-FinPerf RE'!L22-'A4-FinPerf RE'!L19)/('A7-CFlow'!L11-'A7-CFlow'!L35)))</f>
        <v>65.156665936579131</v>
      </c>
    </row>
    <row r="38" spans="1:13" ht="25.5" x14ac:dyDescent="0.25">
      <c r="A38" s="476" t="s">
        <v>1632</v>
      </c>
      <c r="B38" s="470" t="s">
        <v>742</v>
      </c>
      <c r="C38" s="496">
        <f>IF(ISERROR(('A6-FinPos'!C8+'A6-FinPos'!C9+'A6-FinPos'!C10)/SUM('A4-FinPerf RE'!C5:C12)),0,(('A6-FinPos'!C8+'A6-FinPos'!C9+'A6-FinPos'!C10)/SUM('A4-FinPerf RE'!C5:C12)))</f>
        <v>1.4217290847289208</v>
      </c>
      <c r="D38" s="497">
        <f>IF(ISERROR(('A6-FinPos'!D8+'A6-FinPos'!D9+'A6-FinPos'!D10)/SUM('A4-FinPerf RE'!D5:D12)),0,(('A6-FinPos'!D8+'A6-FinPos'!D9+'A6-FinPos'!D10)/SUM('A4-FinPerf RE'!D5:D12)))</f>
        <v>1.8142700954223605</v>
      </c>
      <c r="E38" s="498">
        <f>IF(ISERROR(('A6-FinPos'!E8+'A6-FinPos'!E9+'A6-FinPos'!E10)/SUM('A4-FinPerf RE'!E5:E12)),0,(('A6-FinPos'!E8+'A6-FinPos'!E9+'A6-FinPos'!E10)/SUM('A4-FinPerf RE'!E5:E12)))</f>
        <v>0.12199470325043575</v>
      </c>
      <c r="F38" s="499">
        <f>IF(ISERROR(('A6-FinPos'!F8+'A6-FinPos'!F9+'A6-FinPos'!F10)/SUM('A4-FinPerf RE'!F5:F12)),0,(('A6-FinPos'!F8+'A6-FinPos'!F9+'A6-FinPos'!F10)/SUM('A4-FinPerf RE'!F5:F12)))</f>
        <v>3.8070891011888861</v>
      </c>
      <c r="G38" s="497">
        <f>IF(ISERROR(('A6-FinPos'!G8+'A6-FinPos'!G9+'A6-FinPos'!G10)/SUM('A4-FinPerf RE'!G5:G12)),0,(('A6-FinPos'!G8+'A6-FinPos'!G9+'A6-FinPos'!G10)/SUM('A4-FinPerf RE'!G5:G12)))</f>
        <v>2.5636116968314031</v>
      </c>
      <c r="H38" s="498">
        <f>IF(ISERROR(('A6-FinPos'!H8+'A6-FinPos'!H9+'A6-FinPos'!H10)/SUM('A4-FinPerf RE'!H5:H12)),0,(('A6-FinPos'!H8+'A6-FinPos'!H9+'A6-FinPos'!H10)/SUM('A4-FinPerf RE'!H5:H12)))</f>
        <v>2.5636116968314031</v>
      </c>
      <c r="I38" s="500">
        <f>IF(ISERROR(('A6-FinPos'!I8+'A6-FinPos'!I9+'A6-FinPos'!I10)/SUM('A4-FinPerf RE'!I5:I12)),0,(('A6-FinPos'!I8+'A6-FinPos'!I9+'A6-FinPos'!I10)/SUM('A4-FinPerf RE'!I5:I12)))</f>
        <v>10.890756369355589</v>
      </c>
      <c r="J38" s="496">
        <f>IF(ISERROR(('A6-FinPos'!J8+'A6-FinPos'!J9+'A6-FinPos'!J10)/SUM('A4-FinPerf RE'!J5:J12)),0,(('A6-FinPos'!J8+'A6-FinPos'!J9+'A6-FinPos'!J10)/SUM('A4-FinPerf RE'!J5:J12)))</f>
        <v>1.2074414623417942</v>
      </c>
      <c r="K38" s="497">
        <f>IF(ISERROR(('A6-FinPos'!K8+'A6-FinPos'!K9+'A6-FinPos'!K10)/SUM('A4-FinPerf RE'!K5:K12)),0,(('A6-FinPos'!K8+'A6-FinPos'!K9+'A6-FinPos'!K10)/SUM('A4-FinPerf RE'!K5:K12)))</f>
        <v>1.2074414623417942</v>
      </c>
      <c r="L38" s="498">
        <f>IF(ISERROR(('A6-FinPos'!L8+'A6-FinPos'!L9+'A6-FinPos'!L10)/SUM('A4-FinPerf RE'!L5:L12)),0,(('A6-FinPos'!L8+'A6-FinPos'!L9+'A6-FinPos'!L10)/SUM('A4-FinPerf RE'!L5:L12)))</f>
        <v>1.2074414623417942</v>
      </c>
    </row>
    <row r="39" spans="1:13" ht="25.5" x14ac:dyDescent="0.25">
      <c r="A39" s="508" t="s">
        <v>1633</v>
      </c>
      <c r="B39" s="509" t="s">
        <v>1543</v>
      </c>
      <c r="C39" s="510">
        <f>IF(ISERROR('A7-CFlow'!C40/'SA8'!C46),0,('A7-CFlow'!C40/'SA8'!C46))</f>
        <v>4.0149530150846955</v>
      </c>
      <c r="D39" s="511">
        <f>IF(ISERROR('A7-CFlow'!D40/'SA8'!D46),0,('A7-CFlow'!D40/'SA8'!D46))</f>
        <v>0.22046553598043853</v>
      </c>
      <c r="E39" s="512">
        <f>IF(ISERROR('A7-CFlow'!E40/'SA8'!E46),0,('A7-CFlow'!E40/'SA8'!E46))</f>
        <v>1.1502477588623277</v>
      </c>
      <c r="F39" s="513">
        <f>IF(ISERROR('A7-CFlow'!F40/'SA8'!F46),0,('A7-CFlow'!F40/'SA8'!F46))</f>
        <v>1.1151940541293328</v>
      </c>
      <c r="G39" s="511">
        <f>IF(ISERROR('A7-CFlow'!G40/'SA8'!G46),0,('A7-CFlow'!G40/'SA8'!G46))</f>
        <v>-6.9240223427525258</v>
      </c>
      <c r="H39" s="512">
        <f>IF(ISERROR('A7-CFlow'!H40/'SA8'!H46),0,('A7-CFlow'!H40/'SA8'!H46))</f>
        <v>-6.9240223427525258</v>
      </c>
      <c r="I39" s="514">
        <f>IF(ISERROR('A7-CFlow'!I40/'SA8'!I46),0,('A7-CFlow'!I40/'SA8'!I46))</f>
        <v>6.3249452908606587</v>
      </c>
      <c r="J39" s="510">
        <f>IF(ISERROR('A7-CFlow'!J40/'SA8'!J46),0,('A7-CFlow'!J40/'SA8'!J46))</f>
        <v>3.067240996087006E-3</v>
      </c>
      <c r="K39" s="511">
        <f>IF(ISERROR('A7-CFlow'!K40/'SA8'!K46),0,('A7-CFlow'!K40/'SA8'!K46))</f>
        <v>1.6374760930003385E-2</v>
      </c>
      <c r="L39" s="512">
        <f>IF(ISERROR('A7-CFlow'!L40/'SA8'!L46),0,('A7-CFlow'!L40/'SA8'!L46))</f>
        <v>3.9084043361803197E-2</v>
      </c>
    </row>
    <row r="40" spans="1:13" x14ac:dyDescent="0.25">
      <c r="A40" s="356" t="str">
        <f>head27a</f>
        <v>References</v>
      </c>
    </row>
    <row r="41" spans="1:13" x14ac:dyDescent="0.25">
      <c r="A41" s="460" t="s">
        <v>1276</v>
      </c>
    </row>
    <row r="42" spans="1:13" x14ac:dyDescent="0.25">
      <c r="A42" s="460" t="s">
        <v>1275</v>
      </c>
    </row>
    <row r="44" spans="1:13" x14ac:dyDescent="0.25">
      <c r="A44" s="463" t="s">
        <v>781</v>
      </c>
    </row>
    <row r="45" spans="1:13" x14ac:dyDescent="0.25">
      <c r="A45" s="149" t="s">
        <v>1432</v>
      </c>
      <c r="C45" s="210"/>
      <c r="D45" s="210"/>
      <c r="E45" s="1630"/>
      <c r="F45" s="1630"/>
      <c r="G45" s="1630"/>
      <c r="H45" s="1630"/>
      <c r="I45" s="1630"/>
      <c r="J45" s="1630"/>
      <c r="K45" s="1630"/>
      <c r="L45" s="1630"/>
      <c r="M45" s="369"/>
    </row>
    <row r="46" spans="1:13" x14ac:dyDescent="0.25">
      <c r="A46" s="149" t="s">
        <v>1437</v>
      </c>
      <c r="C46" s="202">
        <f>(('A4-FinPerf RE'!C25+'A4-FinPerf RE'!C26+'A4-FinPerf RE'!C27+'A4-FinPerf RE'!C29+'A4-FinPerf RE'!C30+'A4-FinPerf RE'!C32+'SA1'!C87+'A7-CFlow'!C35)+(('A4-FinPerf RE'!C31+'A4-FinPerf RE'!C34)*'SA8'!C47))/12</f>
        <v>18102721.433333334</v>
      </c>
      <c r="D46" s="202">
        <f>(('A4-FinPerf RE'!D25+'A4-FinPerf RE'!D26+'A4-FinPerf RE'!D27+'A4-FinPerf RE'!D29+'A4-FinPerf RE'!D30+'A4-FinPerf RE'!D32+'SA1'!D87+'A7-CFlow'!D35)+(('A4-FinPerf RE'!D31+'A4-FinPerf RE'!D34)*'SA8'!D47))/12</f>
        <v>14465988.916666666</v>
      </c>
      <c r="E46" s="202">
        <f>(('A4-FinPerf RE'!E25+'A4-FinPerf RE'!E26+'A4-FinPerf RE'!E27+'A4-FinPerf RE'!E29+'A4-FinPerf RE'!E30+'A4-FinPerf RE'!E32+'SA1'!E87+'A7-CFlow'!E35)+(('A4-FinPerf RE'!E31+'A4-FinPerf RE'!E34)*'SA8'!E47))/12</f>
        <v>35828308.016666666</v>
      </c>
      <c r="F46" s="202">
        <f>(('A4-FinPerf RE'!F25+'A4-FinPerf RE'!F26+'A4-FinPerf RE'!F27+'A4-FinPerf RE'!F29+'A4-FinPerf RE'!F30+'A4-FinPerf RE'!F32+'SA1'!F87+'A7-CFlow'!F35)+(('A4-FinPerf RE'!F31+'A4-FinPerf RE'!F34)*'SA8'!F47))/12</f>
        <v>27396906.811521333</v>
      </c>
      <c r="G46" s="202">
        <f>(('A4-FinPerf RE'!G25+'A4-FinPerf RE'!G26+'A4-FinPerf RE'!G27+'A4-FinPerf RE'!G29+'A4-FinPerf RE'!G30+'A4-FinPerf RE'!G32+'SA1'!G87+'A7-CFlow'!G35)+(('A4-FinPerf RE'!G31+'A4-FinPerf RE'!G34)*'SA8'!G47))/12</f>
        <v>23623883.296854671</v>
      </c>
      <c r="H46" s="202">
        <f>(('A4-FinPerf RE'!H25+'A4-FinPerf RE'!H26+'A4-FinPerf RE'!H27+'A4-FinPerf RE'!H29+'A4-FinPerf RE'!H30+'A4-FinPerf RE'!H32+'SA1'!H87+'A7-CFlow'!H35)+(('A4-FinPerf RE'!H31+'A4-FinPerf RE'!H34)*'SA8'!H47))/12</f>
        <v>23623883.296854671</v>
      </c>
      <c r="I46" s="202">
        <f>(('A4-FinPerf RE'!I25+'A4-FinPerf RE'!I26+'A4-FinPerf RE'!I27+'A4-FinPerf RE'!I29+'A4-FinPerf RE'!I30+'A4-FinPerf RE'!I32+'SA1'!I87+'A7-CFlow'!I35)+(('A4-FinPerf RE'!I31+'A4-FinPerf RE'!I34)*'SA8'!I47))/12</f>
        <v>12497119.005000001</v>
      </c>
      <c r="J46" s="202">
        <f>(('A4-FinPerf RE'!J25+'A4-FinPerf RE'!J26+'A4-FinPerf RE'!J27+'A4-FinPerf RE'!J29+'A4-FinPerf RE'!J30+'A4-FinPerf RE'!J32+'SA1'!J87+'A7-CFlow'!J35)+(('A4-FinPerf RE'!J31+'A4-FinPerf RE'!J34)*'SA8'!J47))/12</f>
        <v>32602518.069999993</v>
      </c>
      <c r="K46" s="202">
        <f>(('A4-FinPerf RE'!K25+'A4-FinPerf RE'!K26+'A4-FinPerf RE'!K27+'A4-FinPerf RE'!K29+'A4-FinPerf RE'!K30+'A4-FinPerf RE'!K32+'SA1'!K87+'A7-CFlow'!K35)+(('A4-FinPerf RE'!K31+'A4-FinPerf RE'!K34)*'SA8'!K47))/12</f>
        <v>34526066.636129998</v>
      </c>
      <c r="L46" s="202">
        <f>(('A4-FinPerf RE'!L25+'A4-FinPerf RE'!L26+'A4-FinPerf RE'!L27+'A4-FinPerf RE'!L29+'A4-FinPerf RE'!L30+'A4-FinPerf RE'!L32+'SA1'!L87+'A7-CFlow'!L35)+(('A4-FinPerf RE'!L31+'A4-FinPerf RE'!L34)*'SA8'!L47))/12</f>
        <v>36459526.367753282</v>
      </c>
    </row>
    <row r="47" spans="1:13" x14ac:dyDescent="0.25">
      <c r="A47" s="149" t="s">
        <v>1438</v>
      </c>
      <c r="C47" s="1758">
        <v>0.4</v>
      </c>
      <c r="D47" s="517">
        <f>$C$47</f>
        <v>0.4</v>
      </c>
      <c r="E47" s="517">
        <f t="shared" ref="E47:L47" si="1">$C$47</f>
        <v>0.4</v>
      </c>
      <c r="F47" s="517">
        <f t="shared" si="1"/>
        <v>0.4</v>
      </c>
      <c r="G47" s="517">
        <f t="shared" si="1"/>
        <v>0.4</v>
      </c>
      <c r="H47" s="517">
        <f t="shared" si="1"/>
        <v>0.4</v>
      </c>
      <c r="I47" s="517">
        <f t="shared" si="1"/>
        <v>0.4</v>
      </c>
      <c r="J47" s="517">
        <f t="shared" si="1"/>
        <v>0.4</v>
      </c>
      <c r="K47" s="517">
        <f t="shared" si="1"/>
        <v>0.4</v>
      </c>
      <c r="L47" s="517">
        <f t="shared" si="1"/>
        <v>0.4</v>
      </c>
    </row>
    <row r="48" spans="1:13" x14ac:dyDescent="0.25">
      <c r="A48" s="149" t="s">
        <v>904</v>
      </c>
      <c r="C48" s="2165">
        <f>'A5-Capex'!C40-'A5-Capex'!C70-'A5-Capex'!C71</f>
        <v>0</v>
      </c>
      <c r="D48" s="2165">
        <f>'A5-Capex'!D40-'A5-Capex'!D70-'A5-Capex'!D71</f>
        <v>-1.862645149230957E-9</v>
      </c>
      <c r="E48" s="2165">
        <f>'A5-Capex'!E40-'A5-Capex'!E70-'A5-Capex'!E71</f>
        <v>0</v>
      </c>
      <c r="F48" s="2165">
        <f>'A5-Capex'!F40-'A5-Capex'!F70-'A5-Capex'!F71</f>
        <v>0</v>
      </c>
      <c r="G48" s="2165">
        <f>'A5-Capex'!G40-'A5-Capex'!G70-'A5-Capex'!G71</f>
        <v>0</v>
      </c>
      <c r="H48" s="2165">
        <f>'A5-Capex'!H40-'A5-Capex'!H70-'A5-Capex'!H71</f>
        <v>0</v>
      </c>
      <c r="I48" s="2165">
        <f>'A5-Capex'!I40-'A5-Capex'!I70-'A5-Capex'!I71</f>
        <v>0</v>
      </c>
      <c r="J48" s="2165">
        <f>'A5-Capex'!J40-'A5-Capex'!J70-'A5-Capex'!J71</f>
        <v>0</v>
      </c>
      <c r="K48" s="2165">
        <f>'A5-Capex'!K40-'A5-Capex'!K70-'A5-Capex'!K71</f>
        <v>465356.54000003636</v>
      </c>
      <c r="L48" s="2165">
        <f>'A5-Capex'!L40-'A5-Capex'!L70-'A5-Capex'!L71</f>
        <v>859629.86851508915</v>
      </c>
    </row>
    <row r="49" spans="1:12" x14ac:dyDescent="0.25">
      <c r="A49" s="149" t="s">
        <v>1272</v>
      </c>
      <c r="C49" s="2165">
        <f>'A7-CFlow'!C31+'A7-CFlow'!C32</f>
        <v>0</v>
      </c>
      <c r="D49" s="2165">
        <f>'A7-CFlow'!D31+'A7-CFlow'!D32</f>
        <v>0</v>
      </c>
      <c r="E49" s="2165">
        <f>'A7-CFlow'!E31+'A7-CFlow'!E32</f>
        <v>0</v>
      </c>
      <c r="F49" s="2165">
        <f>'A7-CFlow'!F31+'A7-CFlow'!F32</f>
        <v>0</v>
      </c>
      <c r="G49" s="2165">
        <f>'A7-CFlow'!G31+'A7-CFlow'!G32</f>
        <v>0</v>
      </c>
      <c r="H49" s="2165">
        <f>'A7-CFlow'!H31+'A7-CFlow'!H32</f>
        <v>0</v>
      </c>
      <c r="I49" s="2165">
        <f>'A7-CFlow'!I31+'A7-CFlow'!I32</f>
        <v>0</v>
      </c>
      <c r="J49" s="2165">
        <f>'A7-CFlow'!J31+'A7-CFlow'!J32</f>
        <v>0</v>
      </c>
      <c r="K49" s="2165">
        <f>'A7-CFlow'!K31+'A7-CFlow'!K32</f>
        <v>0</v>
      </c>
      <c r="L49" s="2165">
        <f>'A7-CFlow'!L31+'A7-CFlow'!L32</f>
        <v>0</v>
      </c>
    </row>
  </sheetData>
  <sheetProtection sheet="1" objects="1" scenarios="1"/>
  <dataConsolidate/>
  <customSheetViews>
    <customSheetView guid="{F50C5479-5CC4-4FD7-8319-543D29E829F0}" showGridLines="0" fitToPage="1">
      <pane xSplit="2" ySplit="3" topLeftCell="C4" activePane="bottomRight" state="frozen"/>
      <selection pane="bottomRight" activeCell="D17" sqref="D17"/>
      <pageMargins left="0.37" right="0.14000000000000001" top="0.78740157480314965" bottom="0.39370078740157483" header="0.51181102362204722" footer="0.59055118110236227"/>
      <printOptions horizontalCentered="1"/>
      <pageSetup paperSize="9" scale="71" orientation="portrait" r:id="rId1"/>
      <headerFooter alignWithMargins="0"/>
    </customSheetView>
  </customSheetViews>
  <mergeCells count="6">
    <mergeCell ref="A29:A31"/>
    <mergeCell ref="A2:A3"/>
    <mergeCell ref="J2:L2"/>
    <mergeCell ref="B2:B3"/>
    <mergeCell ref="F2:I2"/>
    <mergeCell ref="A26:A28"/>
  </mergeCells>
  <phoneticPr fontId="2" type="noConversion"/>
  <dataValidations count="1">
    <dataValidation type="decimal" allowBlank="1" showInputMessage="1" showErrorMessage="1" sqref="C20:L20 C22:L22 C24:L24 C26:L31 E45:L45 C47">
      <formula1>-9999999999999990000</formula1>
      <formula2>99999999999999900000</formula2>
    </dataValidation>
  </dataValidations>
  <printOptions horizontalCentered="1"/>
  <pageMargins left="0.37" right="0.14000000000000001" top="0.78740157480314965" bottom="0.39370078740157483" header="0.51181102362204722" footer="0.59055118110236227"/>
  <pageSetup paperSize="9" scale="71" orientation="portrait"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2"/>
    <pageSetUpPr fitToPage="1"/>
  </sheetPr>
  <dimension ref="A1:M261"/>
  <sheetViews>
    <sheetView showGridLines="0" topLeftCell="A84" zoomScaleNormal="100" workbookViewId="0">
      <selection activeCell="K99" sqref="K99:M99"/>
    </sheetView>
  </sheetViews>
  <sheetFormatPr defaultRowHeight="11.25" customHeight="1" x14ac:dyDescent="0.25"/>
  <cols>
    <col min="1" max="1" width="35.28515625" style="149" customWidth="1"/>
    <col min="2" max="2" width="3.7109375" style="149" customWidth="1"/>
    <col min="3" max="3" width="30.28515625" style="149" customWidth="1"/>
    <col min="4" max="12" width="9.28515625" style="149" customWidth="1"/>
    <col min="13" max="16384" width="9.140625" style="149"/>
  </cols>
  <sheetData>
    <row r="1" spans="1:13" s="179" customFormat="1" ht="12.75" x14ac:dyDescent="0.2">
      <c r="A1" s="147" t="str">
        <f>muni&amp;" - "&amp;TableA9</f>
        <v>MP315 Thembisile Hani - Supporting Table SA9 Social, economic and demographic statistics and assumptions</v>
      </c>
      <c r="B1" s="2350"/>
      <c r="C1" s="147"/>
      <c r="D1" s="147"/>
      <c r="E1" s="147"/>
      <c r="F1" s="147"/>
      <c r="G1" s="147"/>
      <c r="H1" s="147"/>
      <c r="I1" s="147"/>
      <c r="J1" s="147"/>
      <c r="K1" s="147"/>
      <c r="L1" s="147"/>
      <c r="M1" s="147"/>
    </row>
    <row r="2" spans="1:13" ht="33.75" customHeight="1" x14ac:dyDescent="0.25">
      <c r="A2" s="2813" t="s">
        <v>642</v>
      </c>
      <c r="B2" s="2815" t="s">
        <v>1982</v>
      </c>
      <c r="C2" s="2813" t="s">
        <v>1079</v>
      </c>
      <c r="D2" s="2813" t="str">
        <f>Head44</f>
        <v>2001 Census</v>
      </c>
      <c r="E2" s="2813" t="s">
        <v>201</v>
      </c>
      <c r="F2" s="2813" t="str">
        <f>Head45</f>
        <v>2011 Census</v>
      </c>
      <c r="G2" s="2415" t="str">
        <f>head1b</f>
        <v>2011/12</v>
      </c>
      <c r="H2" s="2416" t="str">
        <f>head1A</f>
        <v>2012/13</v>
      </c>
      <c r="I2" s="2417" t="str">
        <f>Head1</f>
        <v>2013/14</v>
      </c>
      <c r="J2" s="2418" t="str">
        <f>Head2</f>
        <v>Current Year 2014/15</v>
      </c>
      <c r="K2" s="2811" t="str">
        <f>Head3</f>
        <v>2015/16 Medium Term Revenue &amp; Expenditure Framework</v>
      </c>
      <c r="L2" s="2811"/>
      <c r="M2" s="2812"/>
    </row>
    <row r="3" spans="1:13" ht="24.95" customHeight="1" x14ac:dyDescent="0.25">
      <c r="A3" s="2814"/>
      <c r="B3" s="2816"/>
      <c r="C3" s="2814"/>
      <c r="D3" s="2814"/>
      <c r="E3" s="2814"/>
      <c r="F3" s="2814"/>
      <c r="G3" s="999" t="str">
        <f t="shared" ref="G3:M3" si="0">Head5A</f>
        <v>Outcome</v>
      </c>
      <c r="H3" s="1000" t="str">
        <f t="shared" si="0"/>
        <v>Outcome</v>
      </c>
      <c r="I3" s="2419" t="str">
        <f t="shared" si="0"/>
        <v>Outcome</v>
      </c>
      <c r="J3" s="2420" t="str">
        <f>Head6</f>
        <v>Original Budget</v>
      </c>
      <c r="K3" s="2421" t="str">
        <f t="shared" si="0"/>
        <v>Outcome</v>
      </c>
      <c r="L3" s="1000" t="str">
        <f t="shared" si="0"/>
        <v>Outcome</v>
      </c>
      <c r="M3" s="2422" t="str">
        <f t="shared" si="0"/>
        <v>Outcome</v>
      </c>
    </row>
    <row r="4" spans="1:13" ht="11.25" customHeight="1" x14ac:dyDescent="0.25">
      <c r="A4" s="519" t="s">
        <v>646</v>
      </c>
      <c r="B4" s="2430"/>
      <c r="C4" s="2351"/>
      <c r="D4" s="520"/>
      <c r="E4" s="520"/>
      <c r="F4" s="520"/>
      <c r="G4" s="468"/>
      <c r="H4" s="438"/>
      <c r="I4" s="521"/>
      <c r="J4" s="522"/>
      <c r="K4" s="469"/>
      <c r="L4" s="438"/>
      <c r="M4" s="467"/>
    </row>
    <row r="5" spans="1:13" ht="11.25" customHeight="1" x14ac:dyDescent="0.25">
      <c r="A5" s="304" t="s">
        <v>1111</v>
      </c>
      <c r="B5" s="2431"/>
      <c r="C5" s="2352"/>
      <c r="D5" s="1759"/>
      <c r="E5" s="1759"/>
      <c r="F5" s="1759"/>
      <c r="G5" s="1760">
        <v>293000</v>
      </c>
      <c r="H5" s="1761"/>
      <c r="I5" s="1762"/>
      <c r="J5" s="1763">
        <v>293000</v>
      </c>
      <c r="K5" s="1764">
        <v>310458</v>
      </c>
      <c r="L5" s="1764">
        <v>310458</v>
      </c>
      <c r="M5" s="1764">
        <v>310458</v>
      </c>
    </row>
    <row r="6" spans="1:13" ht="11.25" customHeight="1" x14ac:dyDescent="0.25">
      <c r="A6" s="523" t="s">
        <v>1109</v>
      </c>
      <c r="B6" s="2432"/>
      <c r="C6" s="2352"/>
      <c r="D6" s="1759"/>
      <c r="E6" s="1759"/>
      <c r="F6" s="1759"/>
      <c r="G6" s="1765">
        <v>16000</v>
      </c>
      <c r="H6" s="1766"/>
      <c r="I6" s="1767"/>
      <c r="J6" s="1768">
        <v>16000</v>
      </c>
      <c r="K6" s="1769">
        <v>16000</v>
      </c>
      <c r="L6" s="1766">
        <v>16000</v>
      </c>
      <c r="M6" s="1770">
        <v>16000</v>
      </c>
    </row>
    <row r="7" spans="1:13" ht="11.25" customHeight="1" x14ac:dyDescent="0.25">
      <c r="A7" s="523" t="s">
        <v>129</v>
      </c>
      <c r="B7" s="2432"/>
      <c r="C7" s="2352"/>
      <c r="D7" s="1759"/>
      <c r="E7" s="1759"/>
      <c r="F7" s="1759"/>
      <c r="G7" s="1765">
        <v>16000</v>
      </c>
      <c r="H7" s="1766"/>
      <c r="I7" s="1767"/>
      <c r="J7" s="1768">
        <v>16000</v>
      </c>
      <c r="K7" s="1769">
        <v>16000</v>
      </c>
      <c r="L7" s="1766">
        <v>16000</v>
      </c>
      <c r="M7" s="1770">
        <v>16000</v>
      </c>
    </row>
    <row r="8" spans="1:13" ht="11.25" customHeight="1" x14ac:dyDescent="0.25">
      <c r="A8" s="523" t="s">
        <v>1110</v>
      </c>
      <c r="B8" s="2432"/>
      <c r="C8" s="2352"/>
      <c r="D8" s="1759"/>
      <c r="E8" s="1759"/>
      <c r="F8" s="1759"/>
      <c r="G8" s="1765">
        <v>34000</v>
      </c>
      <c r="H8" s="1766"/>
      <c r="I8" s="1767"/>
      <c r="J8" s="1768">
        <v>34000</v>
      </c>
      <c r="K8" s="1769">
        <v>34000</v>
      </c>
      <c r="L8" s="1766">
        <v>34000</v>
      </c>
      <c r="M8" s="1770">
        <v>34000</v>
      </c>
    </row>
    <row r="9" spans="1:13" ht="11.25" customHeight="1" x14ac:dyDescent="0.25">
      <c r="A9" s="523" t="s">
        <v>130</v>
      </c>
      <c r="B9" s="2432"/>
      <c r="C9" s="2352"/>
      <c r="D9" s="1759"/>
      <c r="E9" s="1759"/>
      <c r="F9" s="1759"/>
      <c r="G9" s="1765">
        <v>47000</v>
      </c>
      <c r="H9" s="1766"/>
      <c r="I9" s="1767"/>
      <c r="J9" s="1768">
        <v>47000</v>
      </c>
      <c r="K9" s="1769">
        <v>47000</v>
      </c>
      <c r="L9" s="1766">
        <v>47000</v>
      </c>
      <c r="M9" s="1770">
        <v>47000</v>
      </c>
    </row>
    <row r="10" spans="1:13" ht="12.75" customHeight="1" x14ac:dyDescent="0.25">
      <c r="A10" s="1108" t="s">
        <v>1112</v>
      </c>
      <c r="B10" s="2433"/>
      <c r="C10" s="2353"/>
      <c r="D10" s="1771"/>
      <c r="E10" s="1771"/>
      <c r="F10" s="1771"/>
      <c r="G10" s="1772">
        <v>147000</v>
      </c>
      <c r="H10" s="1773"/>
      <c r="I10" s="1774"/>
      <c r="J10" s="1775">
        <v>147000</v>
      </c>
      <c r="K10" s="1776">
        <v>147000</v>
      </c>
      <c r="L10" s="1773">
        <v>147000</v>
      </c>
      <c r="M10" s="1777">
        <v>147000</v>
      </c>
    </row>
    <row r="11" spans="1:13" ht="11.25" customHeight="1" x14ac:dyDescent="0.25">
      <c r="A11" s="523"/>
      <c r="B11" s="2432"/>
      <c r="C11" s="2354"/>
      <c r="D11" s="525"/>
      <c r="E11" s="525"/>
      <c r="F11" s="525"/>
      <c r="G11" s="450"/>
      <c r="H11" s="440"/>
      <c r="I11" s="527"/>
      <c r="J11" s="442"/>
      <c r="K11" s="528"/>
      <c r="L11" s="440"/>
      <c r="M11" s="449"/>
    </row>
    <row r="12" spans="1:13" ht="11.25" customHeight="1" x14ac:dyDescent="0.25">
      <c r="A12" s="526" t="s">
        <v>2189</v>
      </c>
      <c r="B12" s="2431" t="s">
        <v>2150</v>
      </c>
      <c r="C12" s="2354"/>
      <c r="D12" s="525"/>
      <c r="E12" s="525"/>
      <c r="F12" s="525"/>
      <c r="G12" s="450"/>
      <c r="H12" s="440"/>
      <c r="I12" s="527"/>
      <c r="J12" s="442"/>
      <c r="K12" s="528"/>
      <c r="L12" s="440"/>
      <c r="M12" s="449"/>
    </row>
    <row r="13" spans="1:13" ht="11.25" customHeight="1" x14ac:dyDescent="0.25">
      <c r="A13" s="2428" t="s">
        <v>2149</v>
      </c>
      <c r="B13" s="2359"/>
      <c r="C13" s="2352"/>
      <c r="D13" s="1779"/>
      <c r="E13" s="1779"/>
      <c r="F13" s="1779"/>
      <c r="G13" s="1725">
        <v>10467</v>
      </c>
      <c r="H13" s="1723"/>
      <c r="I13" s="1780"/>
      <c r="J13" s="1781">
        <v>10467</v>
      </c>
      <c r="K13" s="1781">
        <v>131799</v>
      </c>
      <c r="L13" s="1723">
        <v>131799</v>
      </c>
      <c r="M13" s="1781">
        <v>131799</v>
      </c>
    </row>
    <row r="14" spans="1:13" ht="11.25" customHeight="1" x14ac:dyDescent="0.25">
      <c r="A14" s="2428" t="s">
        <v>2165</v>
      </c>
      <c r="B14" s="2359"/>
      <c r="C14" s="2352"/>
      <c r="D14" s="1779"/>
      <c r="E14" s="1779"/>
      <c r="F14" s="1779"/>
      <c r="G14" s="1725">
        <v>26930</v>
      </c>
      <c r="H14" s="1723"/>
      <c r="I14" s="1780"/>
      <c r="J14" s="1781">
        <v>26930</v>
      </c>
      <c r="K14" s="1781">
        <v>39693</v>
      </c>
      <c r="L14" s="1723">
        <v>39693</v>
      </c>
      <c r="M14" s="1781">
        <v>39693</v>
      </c>
    </row>
    <row r="15" spans="1:13" ht="11.25" customHeight="1" x14ac:dyDescent="0.25">
      <c r="A15" s="2428" t="s">
        <v>2166</v>
      </c>
      <c r="B15" s="2359"/>
      <c r="C15" s="2352"/>
      <c r="D15" s="1779"/>
      <c r="E15" s="1779"/>
      <c r="F15" s="1779"/>
      <c r="G15" s="1725">
        <v>17813</v>
      </c>
      <c r="H15" s="1723"/>
      <c r="I15" s="1780"/>
      <c r="J15" s="1781">
        <v>17813</v>
      </c>
      <c r="K15" s="1781">
        <v>19563</v>
      </c>
      <c r="L15" s="1723">
        <v>19563</v>
      </c>
      <c r="M15" s="1781">
        <v>19563</v>
      </c>
    </row>
    <row r="16" spans="1:13" ht="11.25" customHeight="1" x14ac:dyDescent="0.25">
      <c r="A16" s="2428" t="s">
        <v>2167</v>
      </c>
      <c r="B16" s="2359"/>
      <c r="C16" s="2352"/>
      <c r="D16" s="1779"/>
      <c r="E16" s="1779"/>
      <c r="F16" s="1779"/>
      <c r="G16" s="1725">
        <v>11480</v>
      </c>
      <c r="H16" s="1723"/>
      <c r="I16" s="1780"/>
      <c r="J16" s="1781">
        <v>11480</v>
      </c>
      <c r="K16" s="1781">
        <v>8613</v>
      </c>
      <c r="L16" s="1723">
        <v>8613</v>
      </c>
      <c r="M16" s="1781">
        <v>8613</v>
      </c>
    </row>
    <row r="17" spans="1:13" ht="11.25" customHeight="1" x14ac:dyDescent="0.25">
      <c r="A17" s="2428" t="s">
        <v>2168</v>
      </c>
      <c r="B17" s="2359"/>
      <c r="C17" s="2352"/>
      <c r="D17" s="1779"/>
      <c r="E17" s="1779"/>
      <c r="F17" s="1779"/>
      <c r="G17" s="1725">
        <v>5610</v>
      </c>
      <c r="H17" s="1723"/>
      <c r="I17" s="1780"/>
      <c r="J17" s="1781">
        <v>5610</v>
      </c>
      <c r="K17" s="1781">
        <v>4344</v>
      </c>
      <c r="L17" s="1723">
        <v>4344</v>
      </c>
      <c r="M17" s="1781">
        <v>4344</v>
      </c>
    </row>
    <row r="18" spans="1:13" ht="11.25" customHeight="1" x14ac:dyDescent="0.25">
      <c r="A18" s="2428" t="s">
        <v>2169</v>
      </c>
      <c r="B18" s="2359"/>
      <c r="C18" s="2352"/>
      <c r="D18" s="1779"/>
      <c r="E18" s="1779"/>
      <c r="F18" s="1779"/>
      <c r="G18" s="1725">
        <v>2231</v>
      </c>
      <c r="H18" s="1723"/>
      <c r="I18" s="1780"/>
      <c r="J18" s="1781">
        <v>2231</v>
      </c>
      <c r="K18" s="1781">
        <v>2025</v>
      </c>
      <c r="L18" s="1723">
        <v>2025</v>
      </c>
      <c r="M18" s="1781">
        <v>2025</v>
      </c>
    </row>
    <row r="19" spans="1:13" ht="11.25" customHeight="1" x14ac:dyDescent="0.25">
      <c r="A19" s="2428" t="s">
        <v>2170</v>
      </c>
      <c r="B19" s="2359"/>
      <c r="C19" s="2352"/>
      <c r="D19" s="1779"/>
      <c r="E19" s="1779"/>
      <c r="F19" s="1779"/>
      <c r="G19" s="1725">
        <v>794</v>
      </c>
      <c r="H19" s="1723"/>
      <c r="I19" s="1780"/>
      <c r="J19" s="1781">
        <v>794</v>
      </c>
      <c r="K19" s="1781">
        <v>429</v>
      </c>
      <c r="L19" s="1723">
        <v>429</v>
      </c>
      <c r="M19" s="1781">
        <v>429</v>
      </c>
    </row>
    <row r="20" spans="1:13" ht="11.25" customHeight="1" x14ac:dyDescent="0.25">
      <c r="A20" s="2428" t="s">
        <v>2171</v>
      </c>
      <c r="B20" s="2359"/>
      <c r="C20" s="2352"/>
      <c r="D20" s="1779"/>
      <c r="E20" s="1779"/>
      <c r="F20" s="1779"/>
      <c r="G20" s="1725">
        <v>161</v>
      </c>
      <c r="H20" s="1723"/>
      <c r="I20" s="1780"/>
      <c r="J20" s="1781">
        <v>161</v>
      </c>
      <c r="K20" s="1781">
        <v>225</v>
      </c>
      <c r="L20" s="1723">
        <v>225</v>
      </c>
      <c r="M20" s="1781">
        <v>225</v>
      </c>
    </row>
    <row r="21" spans="1:13" ht="11.25" customHeight="1" x14ac:dyDescent="0.25">
      <c r="A21" s="2428" t="s">
        <v>2172</v>
      </c>
      <c r="B21" s="2359"/>
      <c r="C21" s="2352"/>
      <c r="D21" s="1779"/>
      <c r="E21" s="1779"/>
      <c r="F21" s="1779"/>
      <c r="G21" s="1725">
        <v>204800</v>
      </c>
      <c r="H21" s="1723"/>
      <c r="I21" s="1780"/>
      <c r="J21" s="1781">
        <v>204800</v>
      </c>
      <c r="K21" s="1781">
        <v>0</v>
      </c>
      <c r="L21" s="1723">
        <v>0</v>
      </c>
      <c r="M21" s="1781">
        <v>0</v>
      </c>
    </row>
    <row r="22" spans="1:13" ht="11.25" customHeight="1" x14ac:dyDescent="0.25">
      <c r="A22" s="2428" t="s">
        <v>2173</v>
      </c>
      <c r="B22" s="2359"/>
      <c r="C22" s="2352"/>
      <c r="D22" s="1779"/>
      <c r="E22" s="1779"/>
      <c r="F22" s="1779"/>
      <c r="G22" s="1725">
        <v>79</v>
      </c>
      <c r="H22" s="1723"/>
      <c r="I22" s="1780"/>
      <c r="J22" s="1781">
        <v>79</v>
      </c>
      <c r="K22" s="1781">
        <v>0</v>
      </c>
      <c r="L22" s="1723">
        <v>0</v>
      </c>
      <c r="M22" s="1781">
        <v>0</v>
      </c>
    </row>
    <row r="23" spans="1:13" ht="11.25" customHeight="1" x14ac:dyDescent="0.25">
      <c r="A23" s="2428" t="s">
        <v>2174</v>
      </c>
      <c r="B23" s="2359"/>
      <c r="C23" s="2352"/>
      <c r="D23" s="1779"/>
      <c r="E23" s="1779"/>
      <c r="F23" s="1779"/>
      <c r="G23" s="1725"/>
      <c r="H23" s="1723"/>
      <c r="I23" s="1780"/>
      <c r="J23" s="1781"/>
      <c r="K23" s="1726"/>
      <c r="L23" s="1723"/>
      <c r="M23" s="1724"/>
    </row>
    <row r="24" spans="1:13" ht="11.25" customHeight="1" x14ac:dyDescent="0.25">
      <c r="A24" s="2428" t="s">
        <v>2175</v>
      </c>
      <c r="B24" s="2359"/>
      <c r="C24" s="2352"/>
      <c r="D24" s="1779"/>
      <c r="E24" s="1779"/>
      <c r="F24" s="1779"/>
      <c r="G24" s="1725"/>
      <c r="H24" s="1723"/>
      <c r="I24" s="1780"/>
      <c r="J24" s="1781"/>
      <c r="K24" s="1726"/>
      <c r="L24" s="1723"/>
      <c r="M24" s="1724"/>
    </row>
    <row r="25" spans="1:13" ht="3.75" customHeight="1" x14ac:dyDescent="0.25">
      <c r="A25" s="2429"/>
      <c r="B25" s="2369"/>
      <c r="C25" s="2353"/>
      <c r="D25" s="1783"/>
      <c r="E25" s="1783"/>
      <c r="F25" s="1783"/>
      <c r="G25" s="1784"/>
      <c r="H25" s="1785"/>
      <c r="I25" s="1786"/>
      <c r="J25" s="1787"/>
      <c r="K25" s="1788"/>
      <c r="L25" s="1785"/>
      <c r="M25" s="1789"/>
    </row>
    <row r="26" spans="1:13" ht="11.25" customHeight="1" x14ac:dyDescent="0.25">
      <c r="A26" s="523"/>
      <c r="B26" s="2432"/>
      <c r="C26" s="2355"/>
      <c r="D26" s="529"/>
      <c r="E26" s="529"/>
      <c r="F26" s="529"/>
      <c r="G26" s="458"/>
      <c r="H26" s="456"/>
      <c r="I26" s="530"/>
      <c r="J26" s="531"/>
      <c r="K26" s="459"/>
      <c r="L26" s="456"/>
      <c r="M26" s="457"/>
    </row>
    <row r="27" spans="1:13" ht="11.25" customHeight="1" x14ac:dyDescent="0.25">
      <c r="A27" s="526" t="s">
        <v>2190</v>
      </c>
      <c r="B27" s="2431"/>
      <c r="C27" s="2355"/>
      <c r="D27" s="529"/>
      <c r="E27" s="529"/>
      <c r="F27" s="529"/>
      <c r="G27" s="458"/>
      <c r="H27" s="456"/>
      <c r="I27" s="530"/>
      <c r="J27" s="531"/>
      <c r="K27" s="459"/>
      <c r="L27" s="456"/>
      <c r="M27" s="457"/>
    </row>
    <row r="28" spans="1:13" ht="12.75" customHeight="1" x14ac:dyDescent="0.25">
      <c r="A28" s="2428" t="s">
        <v>2192</v>
      </c>
      <c r="B28" s="2359">
        <v>13</v>
      </c>
      <c r="C28" s="2352"/>
      <c r="D28" s="1790"/>
      <c r="E28" s="1790"/>
      <c r="F28" s="1790"/>
      <c r="G28" s="1791"/>
      <c r="H28" s="1792"/>
      <c r="I28" s="1793"/>
      <c r="J28" s="1794"/>
      <c r="K28" s="1795"/>
      <c r="L28" s="1792"/>
      <c r="M28" s="1796"/>
    </row>
    <row r="29" spans="1:13" ht="12.75" customHeight="1" x14ac:dyDescent="0.25">
      <c r="A29" s="1778" t="s">
        <v>1087</v>
      </c>
      <c r="B29" s="2359">
        <v>2</v>
      </c>
      <c r="C29" s="2352"/>
      <c r="D29" s="1790"/>
      <c r="E29" s="1790"/>
      <c r="F29" s="1790"/>
      <c r="G29" s="1791"/>
      <c r="H29" s="1792"/>
      <c r="I29" s="1793"/>
      <c r="J29" s="1794"/>
      <c r="K29" s="1795"/>
      <c r="L29" s="1792"/>
      <c r="M29" s="1796"/>
    </row>
    <row r="30" spans="1:13" ht="4.5" customHeight="1" x14ac:dyDescent="0.25">
      <c r="A30" s="1109"/>
      <c r="B30" s="2356"/>
      <c r="C30" s="2357"/>
      <c r="D30" s="1110"/>
      <c r="E30" s="1110"/>
      <c r="F30" s="1110"/>
      <c r="G30" s="1111"/>
      <c r="H30" s="1112"/>
      <c r="I30" s="1113"/>
      <c r="J30" s="1114"/>
      <c r="K30" s="1115"/>
      <c r="L30" s="1112"/>
      <c r="M30" s="1116"/>
    </row>
    <row r="31" spans="1:13" ht="11.25" customHeight="1" x14ac:dyDescent="0.25">
      <c r="A31" s="526" t="s">
        <v>1805</v>
      </c>
      <c r="B31" s="2431"/>
      <c r="C31" s="2355"/>
      <c r="D31" s="529"/>
      <c r="E31" s="529"/>
      <c r="F31" s="529"/>
      <c r="G31" s="458"/>
      <c r="H31" s="456"/>
      <c r="I31" s="530"/>
      <c r="J31" s="531"/>
      <c r="K31" s="459"/>
      <c r="L31" s="456"/>
      <c r="M31" s="457"/>
    </row>
    <row r="32" spans="1:13" ht="11.25" customHeight="1" x14ac:dyDescent="0.25">
      <c r="A32" s="1778" t="s">
        <v>1806</v>
      </c>
      <c r="B32" s="2359"/>
      <c r="C32" s="2352"/>
      <c r="D32" s="1790"/>
      <c r="E32" s="1790"/>
      <c r="F32" s="1790"/>
      <c r="G32" s="1606"/>
      <c r="H32" s="1606"/>
      <c r="I32" s="1607"/>
      <c r="J32" s="1797"/>
      <c r="K32" s="1610">
        <v>310458</v>
      </c>
      <c r="L32" s="1610">
        <v>310458</v>
      </c>
      <c r="M32" s="1610">
        <v>310458</v>
      </c>
    </row>
    <row r="33" spans="1:13" ht="11.25" customHeight="1" x14ac:dyDescent="0.25">
      <c r="A33" s="1778" t="s">
        <v>1807</v>
      </c>
      <c r="B33" s="2359"/>
      <c r="C33" s="2352"/>
      <c r="D33" s="1790"/>
      <c r="E33" s="1790"/>
      <c r="F33" s="1790"/>
      <c r="G33" s="1606"/>
      <c r="H33" s="1606"/>
      <c r="I33" s="1607"/>
      <c r="J33" s="1797"/>
      <c r="K33" s="1610">
        <v>128890</v>
      </c>
      <c r="L33" s="1610">
        <v>128890</v>
      </c>
      <c r="M33" s="1610">
        <v>128890</v>
      </c>
    </row>
    <row r="34" spans="1:13" ht="11.25" customHeight="1" x14ac:dyDescent="0.25">
      <c r="A34" s="1778" t="s">
        <v>1808</v>
      </c>
      <c r="B34" s="2359"/>
      <c r="C34" s="2352"/>
      <c r="D34" s="1790"/>
      <c r="E34" s="1790"/>
      <c r="F34" s="1790"/>
      <c r="G34" s="1606"/>
      <c r="H34" s="1606"/>
      <c r="I34" s="1607"/>
      <c r="J34" s="1797"/>
      <c r="K34" s="1610">
        <v>75634</v>
      </c>
      <c r="L34" s="1610">
        <v>75634</v>
      </c>
      <c r="M34" s="1610">
        <v>75634</v>
      </c>
    </row>
    <row r="35" spans="1:13" ht="11.25" customHeight="1" x14ac:dyDescent="0.25">
      <c r="A35" s="1778" t="s">
        <v>1809</v>
      </c>
      <c r="B35" s="2359"/>
      <c r="C35" s="2352"/>
      <c r="D35" s="1790"/>
      <c r="E35" s="1790"/>
      <c r="F35" s="1790"/>
      <c r="G35" s="1606"/>
      <c r="H35" s="1606"/>
      <c r="I35" s="1607"/>
      <c r="J35" s="1797"/>
      <c r="K35" s="1610">
        <v>36139</v>
      </c>
      <c r="L35" s="1610">
        <v>36139</v>
      </c>
      <c r="M35" s="1610">
        <v>36139</v>
      </c>
    </row>
    <row r="36" spans="1:13" ht="12.75" customHeight="1" x14ac:dyDescent="0.25">
      <c r="A36" s="1782" t="s">
        <v>301</v>
      </c>
      <c r="B36" s="2369"/>
      <c r="C36" s="2353"/>
      <c r="D36" s="1798"/>
      <c r="E36" s="1798"/>
      <c r="F36" s="1798"/>
      <c r="G36" s="1800">
        <v>1600</v>
      </c>
      <c r="H36" s="1799"/>
      <c r="I36" s="1800"/>
      <c r="J36" s="1801">
        <v>1600</v>
      </c>
      <c r="K36" s="1802">
        <v>1600</v>
      </c>
      <c r="L36" s="1799">
        <v>1600</v>
      </c>
      <c r="M36" s="1803">
        <v>1600</v>
      </c>
    </row>
    <row r="37" spans="1:13" ht="11.25" customHeight="1" x14ac:dyDescent="0.25">
      <c r="A37" s="526"/>
      <c r="B37" s="2431"/>
      <c r="C37" s="2355"/>
      <c r="D37" s="529"/>
      <c r="E37" s="529"/>
      <c r="F37" s="529"/>
      <c r="G37" s="458"/>
      <c r="H37" s="456"/>
      <c r="I37" s="530"/>
      <c r="J37" s="531"/>
      <c r="K37" s="459"/>
      <c r="L37" s="456"/>
      <c r="M37" s="457"/>
    </row>
    <row r="38" spans="1:13" ht="11.25" customHeight="1" x14ac:dyDescent="0.25">
      <c r="A38" s="526" t="s">
        <v>2065</v>
      </c>
      <c r="B38" s="2431">
        <v>3</v>
      </c>
      <c r="C38" s="2355"/>
      <c r="D38" s="529"/>
      <c r="E38" s="529"/>
      <c r="F38" s="529"/>
      <c r="G38" s="458"/>
      <c r="H38" s="456"/>
      <c r="I38" s="530"/>
      <c r="J38" s="531"/>
      <c r="K38" s="459"/>
      <c r="L38" s="456"/>
      <c r="M38" s="457"/>
    </row>
    <row r="39" spans="1:13" ht="11.25" customHeight="1" x14ac:dyDescent="0.25">
      <c r="A39" s="1778" t="s">
        <v>914</v>
      </c>
      <c r="B39" s="2359"/>
      <c r="C39" s="2352"/>
      <c r="D39" s="1790"/>
      <c r="E39" s="1790"/>
      <c r="F39" s="1790"/>
      <c r="G39" s="1804"/>
      <c r="H39" s="1805"/>
      <c r="I39" s="1806"/>
      <c r="J39" s="1807"/>
      <c r="K39" s="1808"/>
      <c r="L39" s="1805"/>
      <c r="M39" s="1809"/>
    </row>
    <row r="40" spans="1:13" ht="11.25" customHeight="1" x14ac:dyDescent="0.25">
      <c r="A40" s="1778" t="s">
        <v>915</v>
      </c>
      <c r="B40" s="2359"/>
      <c r="C40" s="2352"/>
      <c r="D40" s="1810"/>
      <c r="E40" s="1798"/>
      <c r="F40" s="1798"/>
      <c r="G40" s="1811"/>
      <c r="H40" s="1812"/>
      <c r="I40" s="1813"/>
      <c r="J40" s="1814"/>
      <c r="K40" s="1815"/>
      <c r="L40" s="1812"/>
      <c r="M40" s="1816"/>
    </row>
    <row r="41" spans="1:13" ht="11.25" customHeight="1" x14ac:dyDescent="0.25">
      <c r="A41" s="2358" t="s">
        <v>1319</v>
      </c>
      <c r="B41" s="2359"/>
      <c r="C41" s="2360"/>
      <c r="D41" s="2361">
        <f>SUM(D39:D40)</f>
        <v>0</v>
      </c>
      <c r="E41" s="2361">
        <f t="shared" ref="E41:M41" si="1">SUM(E39:E40)</f>
        <v>0</v>
      </c>
      <c r="F41" s="2361">
        <f t="shared" si="1"/>
        <v>0</v>
      </c>
      <c r="G41" s="2362">
        <f t="shared" si="1"/>
        <v>0</v>
      </c>
      <c r="H41" s="2363">
        <f t="shared" si="1"/>
        <v>0</v>
      </c>
      <c r="I41" s="2364">
        <f t="shared" si="1"/>
        <v>0</v>
      </c>
      <c r="J41" s="2365">
        <f t="shared" si="1"/>
        <v>0</v>
      </c>
      <c r="K41" s="2366">
        <f t="shared" si="1"/>
        <v>0</v>
      </c>
      <c r="L41" s="2363">
        <f t="shared" si="1"/>
        <v>0</v>
      </c>
      <c r="M41" s="2367">
        <f t="shared" si="1"/>
        <v>0</v>
      </c>
    </row>
    <row r="42" spans="1:13" ht="11.25" customHeight="1" x14ac:dyDescent="0.25">
      <c r="A42" s="1778" t="s">
        <v>2066</v>
      </c>
      <c r="B42" s="2359">
        <v>4</v>
      </c>
      <c r="C42" s="2352"/>
      <c r="D42" s="1790"/>
      <c r="E42" s="1790"/>
      <c r="F42" s="1790"/>
      <c r="G42" s="1804"/>
      <c r="H42" s="1805"/>
      <c r="I42" s="1806"/>
      <c r="J42" s="1807"/>
      <c r="K42" s="1808"/>
      <c r="L42" s="1805"/>
      <c r="M42" s="1809"/>
    </row>
    <row r="43" spans="1:13" ht="11.25" customHeight="1" x14ac:dyDescent="0.25">
      <c r="A43" s="1778" t="s">
        <v>515</v>
      </c>
      <c r="B43" s="2359"/>
      <c r="C43" s="2352"/>
      <c r="D43" s="1790"/>
      <c r="E43" s="1790"/>
      <c r="F43" s="1790"/>
      <c r="G43" s="1804"/>
      <c r="H43" s="1805"/>
      <c r="I43" s="1806"/>
      <c r="J43" s="1807"/>
      <c r="K43" s="1808"/>
      <c r="L43" s="1805"/>
      <c r="M43" s="1809"/>
    </row>
    <row r="44" spans="1:13" ht="11.25" customHeight="1" x14ac:dyDescent="0.25">
      <c r="A44" s="1778" t="s">
        <v>2067</v>
      </c>
      <c r="B44" s="2359">
        <v>5</v>
      </c>
      <c r="C44" s="2352"/>
      <c r="D44" s="1817"/>
      <c r="E44" s="1790"/>
      <c r="F44" s="1790"/>
      <c r="G44" s="1804"/>
      <c r="H44" s="1805"/>
      <c r="I44" s="1806"/>
      <c r="J44" s="1807"/>
      <c r="K44" s="1808"/>
      <c r="L44" s="1805"/>
      <c r="M44" s="1809"/>
    </row>
    <row r="45" spans="1:13" ht="12.75" customHeight="1" x14ac:dyDescent="0.25">
      <c r="A45" s="2368" t="s">
        <v>302</v>
      </c>
      <c r="B45" s="2369"/>
      <c r="C45" s="2370"/>
      <c r="D45" s="2371">
        <f>SUM(D42:D44)</f>
        <v>0</v>
      </c>
      <c r="E45" s="2372">
        <f t="shared" ref="E45:M45" si="2">SUM(E42:E44)</f>
        <v>0</v>
      </c>
      <c r="F45" s="2372">
        <f t="shared" si="2"/>
        <v>0</v>
      </c>
      <c r="G45" s="2373">
        <f t="shared" si="2"/>
        <v>0</v>
      </c>
      <c r="H45" s="2374">
        <f t="shared" si="2"/>
        <v>0</v>
      </c>
      <c r="I45" s="2375">
        <f t="shared" si="2"/>
        <v>0</v>
      </c>
      <c r="J45" s="2376">
        <f t="shared" si="2"/>
        <v>0</v>
      </c>
      <c r="K45" s="2377">
        <f t="shared" si="2"/>
        <v>0</v>
      </c>
      <c r="L45" s="2374">
        <f t="shared" si="2"/>
        <v>0</v>
      </c>
      <c r="M45" s="2378">
        <f t="shared" si="2"/>
        <v>0</v>
      </c>
    </row>
    <row r="46" spans="1:13" ht="11.25" customHeight="1" x14ac:dyDescent="0.25">
      <c r="A46" s="523"/>
      <c r="B46" s="2432"/>
      <c r="C46" s="2355"/>
      <c r="D46" s="525"/>
      <c r="E46" s="525"/>
      <c r="F46" s="525"/>
      <c r="G46" s="453"/>
      <c r="H46" s="532"/>
      <c r="I46" s="533"/>
      <c r="J46" s="452"/>
      <c r="K46" s="534"/>
      <c r="L46" s="532"/>
      <c r="M46" s="451"/>
    </row>
    <row r="47" spans="1:13" ht="11.25" customHeight="1" x14ac:dyDescent="0.25">
      <c r="A47" s="535" t="s">
        <v>2068</v>
      </c>
      <c r="B47" s="2432">
        <v>6</v>
      </c>
      <c r="C47" s="2355"/>
      <c r="D47" s="536"/>
      <c r="E47" s="536"/>
      <c r="F47" s="536"/>
      <c r="G47" s="499"/>
      <c r="H47" s="497"/>
      <c r="I47" s="537"/>
      <c r="J47" s="538"/>
      <c r="K47" s="507"/>
      <c r="L47" s="504"/>
      <c r="M47" s="505"/>
    </row>
    <row r="48" spans="1:13" ht="11.25" customHeight="1" x14ac:dyDescent="0.25">
      <c r="A48" s="523" t="s">
        <v>1040</v>
      </c>
      <c r="B48" s="2432"/>
      <c r="C48" s="2355"/>
      <c r="D48" s="539"/>
      <c r="E48" s="2053"/>
      <c r="F48" s="2053"/>
      <c r="G48" s="1756"/>
      <c r="H48" s="1754"/>
      <c r="I48" s="1818"/>
      <c r="J48" s="1819"/>
      <c r="K48" s="1757">
        <v>4.8000000000000001E-2</v>
      </c>
      <c r="L48" s="1754">
        <v>5.8999999999999997E-2</v>
      </c>
      <c r="M48" s="1755">
        <v>5.6000000000000001E-2</v>
      </c>
    </row>
    <row r="49" spans="1:13" ht="11.25" customHeight="1" x14ac:dyDescent="0.25">
      <c r="A49" s="523" t="s">
        <v>1113</v>
      </c>
      <c r="B49" s="2432"/>
      <c r="C49" s="2355"/>
      <c r="D49" s="539"/>
      <c r="E49" s="2053"/>
      <c r="F49" s="2053"/>
      <c r="G49" s="1756"/>
      <c r="H49" s="1754"/>
      <c r="I49" s="1818"/>
      <c r="J49" s="1819"/>
      <c r="K49" s="1757"/>
      <c r="L49" s="1754"/>
      <c r="M49" s="1755"/>
    </row>
    <row r="50" spans="1:13" ht="11.25" customHeight="1" x14ac:dyDescent="0.25">
      <c r="A50" s="523" t="s">
        <v>1114</v>
      </c>
      <c r="B50" s="2432"/>
      <c r="C50" s="2355"/>
      <c r="D50" s="540"/>
      <c r="E50" s="2054"/>
      <c r="F50" s="2054"/>
      <c r="G50" s="1756"/>
      <c r="H50" s="1754"/>
      <c r="I50" s="1818"/>
      <c r="J50" s="1819"/>
      <c r="K50" s="1757"/>
      <c r="L50" s="1754"/>
      <c r="M50" s="1755"/>
    </row>
    <row r="51" spans="1:13" ht="11.25" customHeight="1" x14ac:dyDescent="0.25">
      <c r="A51" s="523" t="s">
        <v>1115</v>
      </c>
      <c r="B51" s="2432"/>
      <c r="C51" s="2355"/>
      <c r="D51" s="539"/>
      <c r="E51" s="2053"/>
      <c r="F51" s="2053"/>
      <c r="G51" s="1820"/>
      <c r="H51" s="1821"/>
      <c r="I51" s="1822"/>
      <c r="J51" s="1819"/>
      <c r="K51" s="1823"/>
      <c r="L51" s="1821"/>
      <c r="M51" s="1824"/>
    </row>
    <row r="52" spans="1:13" ht="11.25" customHeight="1" x14ac:dyDescent="0.25">
      <c r="A52" s="523" t="s">
        <v>723</v>
      </c>
      <c r="B52" s="2432"/>
      <c r="C52" s="2355"/>
      <c r="D52" s="539"/>
      <c r="E52" s="2053"/>
      <c r="F52" s="2053"/>
      <c r="G52" s="1820"/>
      <c r="H52" s="1821"/>
      <c r="I52" s="1822"/>
      <c r="J52" s="1819"/>
      <c r="K52" s="1823"/>
      <c r="L52" s="1821"/>
      <c r="M52" s="1824"/>
    </row>
    <row r="53" spans="1:13" ht="12.75" customHeight="1" x14ac:dyDescent="0.25">
      <c r="A53" s="523" t="s">
        <v>724</v>
      </c>
      <c r="B53" s="2432"/>
      <c r="C53" s="2355"/>
      <c r="D53" s="539"/>
      <c r="E53" s="2053"/>
      <c r="F53" s="2053"/>
      <c r="G53" s="1820"/>
      <c r="H53" s="1821"/>
      <c r="I53" s="1822"/>
      <c r="J53" s="1819"/>
      <c r="K53" s="1823"/>
      <c r="L53" s="1821"/>
      <c r="M53" s="1824"/>
    </row>
    <row r="54" spans="1:13" ht="11.25" customHeight="1" x14ac:dyDescent="0.25">
      <c r="A54" s="524"/>
      <c r="B54" s="2432"/>
      <c r="C54" s="2355"/>
      <c r="D54" s="525"/>
      <c r="E54" s="525"/>
      <c r="F54" s="525"/>
      <c r="G54" s="454"/>
      <c r="H54" s="541"/>
      <c r="I54" s="537"/>
      <c r="J54" s="455"/>
      <c r="K54" s="500"/>
      <c r="L54" s="497"/>
      <c r="M54" s="498"/>
    </row>
    <row r="55" spans="1:13" ht="11.25" customHeight="1" x14ac:dyDescent="0.25">
      <c r="A55" s="535" t="s">
        <v>2069</v>
      </c>
      <c r="B55" s="2432">
        <v>7</v>
      </c>
      <c r="C55" s="2355"/>
      <c r="D55" s="525"/>
      <c r="E55" s="525"/>
      <c r="F55" s="525"/>
      <c r="G55" s="454"/>
      <c r="H55" s="541"/>
      <c r="I55" s="537"/>
      <c r="J55" s="455"/>
      <c r="K55" s="500"/>
      <c r="L55" s="497"/>
      <c r="M55" s="498"/>
    </row>
    <row r="56" spans="1:13" ht="11.25" customHeight="1" x14ac:dyDescent="0.25">
      <c r="A56" s="523" t="s">
        <v>1116</v>
      </c>
      <c r="B56" s="2432"/>
      <c r="C56" s="2355"/>
      <c r="D56" s="539"/>
      <c r="E56" s="2053"/>
      <c r="F56" s="2053"/>
      <c r="G56" s="1756"/>
      <c r="H56" s="1754"/>
      <c r="I56" s="1818"/>
      <c r="J56" s="1819"/>
      <c r="K56" s="1757"/>
      <c r="L56" s="1754"/>
      <c r="M56" s="1755"/>
    </row>
    <row r="57" spans="1:13" ht="11.25" customHeight="1" x14ac:dyDescent="0.25">
      <c r="A57" s="523" t="s">
        <v>1117</v>
      </c>
      <c r="B57" s="2432"/>
      <c r="C57" s="2355"/>
      <c r="D57" s="539"/>
      <c r="E57" s="2053"/>
      <c r="F57" s="2053"/>
      <c r="G57" s="1756"/>
      <c r="H57" s="1754"/>
      <c r="I57" s="1818"/>
      <c r="J57" s="1819"/>
      <c r="K57" s="1757"/>
      <c r="L57" s="1754"/>
      <c r="M57" s="1755"/>
    </row>
    <row r="58" spans="1:13" ht="11.25" customHeight="1" x14ac:dyDescent="0.25">
      <c r="A58" s="523" t="s">
        <v>579</v>
      </c>
      <c r="B58" s="2432"/>
      <c r="C58" s="2355"/>
      <c r="D58" s="539"/>
      <c r="E58" s="2053"/>
      <c r="F58" s="2053"/>
      <c r="G58" s="1756"/>
      <c r="H58" s="1754"/>
      <c r="I58" s="1818"/>
      <c r="J58" s="1819"/>
      <c r="K58" s="1757"/>
      <c r="L58" s="1754"/>
      <c r="M58" s="1755"/>
    </row>
    <row r="59" spans="1:13" ht="11.25" customHeight="1" x14ac:dyDescent="0.25">
      <c r="A59" s="523" t="s">
        <v>580</v>
      </c>
      <c r="B59" s="2432"/>
      <c r="C59" s="2355"/>
      <c r="D59" s="539"/>
      <c r="E59" s="2053"/>
      <c r="F59" s="2053"/>
      <c r="G59" s="1756"/>
      <c r="H59" s="1754"/>
      <c r="I59" s="1818"/>
      <c r="J59" s="1819"/>
      <c r="K59" s="1757"/>
      <c r="L59" s="1754"/>
      <c r="M59" s="1755"/>
    </row>
    <row r="60" spans="1:13" ht="13.5" customHeight="1" x14ac:dyDescent="0.25">
      <c r="A60" s="523" t="s">
        <v>581</v>
      </c>
      <c r="B60" s="2432"/>
      <c r="C60" s="2355"/>
      <c r="D60" s="539"/>
      <c r="E60" s="2053"/>
      <c r="F60" s="2053"/>
      <c r="G60" s="1756"/>
      <c r="H60" s="1754"/>
      <c r="I60" s="1818"/>
      <c r="J60" s="1819"/>
      <c r="K60" s="1757"/>
      <c r="L60" s="1754"/>
      <c r="M60" s="1755"/>
    </row>
    <row r="61" spans="1:13" s="708" customFormat="1" ht="3.75" customHeight="1" x14ac:dyDescent="0.25">
      <c r="A61" s="542"/>
      <c r="B61" s="2379"/>
      <c r="C61" s="2380"/>
      <c r="D61" s="543"/>
      <c r="E61" s="543"/>
      <c r="F61" s="543"/>
      <c r="G61" s="544"/>
      <c r="H61" s="545"/>
      <c r="I61" s="546"/>
      <c r="J61" s="547"/>
      <c r="K61" s="548"/>
      <c r="L61" s="549"/>
      <c r="M61" s="550"/>
    </row>
    <row r="62" spans="1:13" s="708" customFormat="1" ht="18.75" customHeight="1" x14ac:dyDescent="0.3">
      <c r="A62" s="2381" t="s">
        <v>2070</v>
      </c>
      <c r="B62" s="247"/>
      <c r="C62" s="149"/>
      <c r="D62" s="149"/>
      <c r="E62" s="149"/>
      <c r="F62" s="149"/>
      <c r="G62" s="309"/>
      <c r="H62" s="309"/>
      <c r="I62" s="309"/>
      <c r="J62" s="309"/>
      <c r="K62" s="309"/>
      <c r="L62" s="309"/>
      <c r="M62" s="309"/>
    </row>
    <row r="63" spans="1:13" s="708" customFormat="1" ht="24.95" customHeight="1" x14ac:dyDescent="0.25">
      <c r="A63" s="2817" t="s">
        <v>2071</v>
      </c>
      <c r="B63" s="2382"/>
      <c r="C63" s="2383"/>
      <c r="D63" s="2384"/>
      <c r="E63" s="2385" t="str">
        <f>head1b</f>
        <v>2011/12</v>
      </c>
      <c r="F63" s="1119" t="str">
        <f>head1A</f>
        <v>2012/13</v>
      </c>
      <c r="G63" s="1120" t="str">
        <f>Head1</f>
        <v>2013/14</v>
      </c>
      <c r="H63" s="2774" t="str">
        <f>Head2</f>
        <v>Current Year 2014/15</v>
      </c>
      <c r="I63" s="2775"/>
      <c r="J63" s="2776"/>
      <c r="K63" s="2774" t="str">
        <f>Head3</f>
        <v>2015/16 Medium Term Revenue &amp; Expenditure Framework</v>
      </c>
      <c r="L63" s="2775"/>
      <c r="M63" s="2776"/>
    </row>
    <row r="64" spans="1:13" s="708" customFormat="1" ht="24.95" customHeight="1" x14ac:dyDescent="0.25">
      <c r="A64" s="2817"/>
      <c r="B64" s="2386" t="s">
        <v>1982</v>
      </c>
      <c r="C64" s="1580"/>
      <c r="D64" s="1581"/>
      <c r="E64" s="2387" t="str">
        <f>Head5A</f>
        <v>Outcome</v>
      </c>
      <c r="F64" s="2388" t="str">
        <f>Head5A</f>
        <v>Outcome</v>
      </c>
      <c r="G64" s="2389" t="str">
        <f>Head5A</f>
        <v>Outcome</v>
      </c>
      <c r="H64" s="2390" t="str">
        <f>Head6</f>
        <v>Original Budget</v>
      </c>
      <c r="I64" s="2388" t="str">
        <f>Head7</f>
        <v>Adjusted Budget</v>
      </c>
      <c r="J64" s="2389" t="str">
        <f>Head8</f>
        <v>Full Year Forecast</v>
      </c>
      <c r="K64" s="2390" t="str">
        <f>Head9</f>
        <v>Budget Year 2015/16</v>
      </c>
      <c r="L64" s="2388" t="str">
        <f>Head10</f>
        <v>Budget Year +1 2016/17</v>
      </c>
      <c r="M64" s="2389" t="str">
        <f>Head11</f>
        <v>Budget Year +2 2017/18</v>
      </c>
    </row>
    <row r="65" spans="1:13" s="708" customFormat="1" ht="11.25" customHeight="1" x14ac:dyDescent="0.25">
      <c r="A65" s="149"/>
      <c r="B65" s="2391"/>
      <c r="C65" s="2392" t="s">
        <v>200</v>
      </c>
      <c r="D65" s="2423"/>
      <c r="E65" s="555"/>
      <c r="F65" s="2393"/>
      <c r="G65" s="2394"/>
      <c r="H65" s="2395"/>
      <c r="I65" s="2396"/>
      <c r="J65" s="2397"/>
      <c r="K65" s="2398"/>
      <c r="L65" s="2396"/>
      <c r="M65" s="2399"/>
    </row>
    <row r="66" spans="1:13" s="708" customFormat="1" ht="11.25" customHeight="1" x14ac:dyDescent="0.25">
      <c r="A66" s="149"/>
      <c r="B66" s="2391"/>
      <c r="C66" s="2400" t="s">
        <v>1848</v>
      </c>
      <c r="D66" s="2424"/>
      <c r="E66" s="1130"/>
      <c r="F66" s="1126"/>
      <c r="G66" s="1129"/>
      <c r="H66" s="1061"/>
      <c r="I66" s="1059"/>
      <c r="J66" s="1062"/>
      <c r="K66" s="1063"/>
      <c r="L66" s="1059"/>
      <c r="M66" s="1060"/>
    </row>
    <row r="67" spans="1:13" ht="11.25" customHeight="1" x14ac:dyDescent="0.25">
      <c r="B67" s="2391"/>
      <c r="C67" s="2401" t="s">
        <v>1636</v>
      </c>
      <c r="D67" s="2424"/>
      <c r="E67" s="1660">
        <v>0</v>
      </c>
      <c r="F67" s="1656">
        <v>0</v>
      </c>
      <c r="G67" s="1657"/>
      <c r="H67" s="2486"/>
      <c r="I67" s="1656"/>
      <c r="J67" s="1659"/>
      <c r="K67" s="1660"/>
      <c r="L67" s="1656"/>
      <c r="M67" s="1657"/>
    </row>
    <row r="68" spans="1:13" ht="11.25" customHeight="1" x14ac:dyDescent="0.25">
      <c r="B68" s="2391"/>
      <c r="C68" s="2401" t="s">
        <v>1847</v>
      </c>
      <c r="D68" s="2424"/>
      <c r="E68" s="1660">
        <v>46</v>
      </c>
      <c r="F68" s="1656">
        <v>2137</v>
      </c>
      <c r="G68" s="1657"/>
      <c r="H68" s="2486">
        <v>590</v>
      </c>
      <c r="I68" s="1656">
        <v>590</v>
      </c>
      <c r="J68" s="1659">
        <v>590</v>
      </c>
      <c r="K68" s="1660">
        <v>495</v>
      </c>
      <c r="L68" s="1656">
        <v>524.20499999999993</v>
      </c>
      <c r="M68" s="1657">
        <v>553.56047999999998</v>
      </c>
    </row>
    <row r="69" spans="1:13" ht="11.25" customHeight="1" x14ac:dyDescent="0.25">
      <c r="B69" s="2402">
        <v>8</v>
      </c>
      <c r="C69" s="2401" t="s">
        <v>131</v>
      </c>
      <c r="D69" s="2424"/>
      <c r="E69" s="1660">
        <v>2134</v>
      </c>
      <c r="F69" s="1656">
        <v>1453</v>
      </c>
      <c r="G69" s="1657"/>
      <c r="H69" s="2486">
        <v>45585</v>
      </c>
      <c r="I69" s="1656">
        <v>45585</v>
      </c>
      <c r="J69" s="1659">
        <v>45585</v>
      </c>
      <c r="K69" s="1660">
        <v>51667</v>
      </c>
      <c r="L69" s="1656">
        <v>54715.352999999996</v>
      </c>
      <c r="M69" s="1657">
        <v>57779.412767999995</v>
      </c>
    </row>
    <row r="70" spans="1:13" ht="11.25" customHeight="1" x14ac:dyDescent="0.25">
      <c r="B70" s="2402">
        <v>10</v>
      </c>
      <c r="C70" s="2401" t="s">
        <v>132</v>
      </c>
      <c r="D70" s="2424"/>
      <c r="E70" s="1660"/>
      <c r="F70" s="1656"/>
      <c r="G70" s="1657"/>
      <c r="H70" s="2486">
        <v>29458</v>
      </c>
      <c r="I70" s="1656">
        <v>29458</v>
      </c>
      <c r="J70" s="1659">
        <v>29458</v>
      </c>
      <c r="K70" s="1660">
        <v>34449</v>
      </c>
      <c r="L70" s="1656">
        <v>36481.490999999995</v>
      </c>
      <c r="M70" s="1657">
        <v>38524.454495999998</v>
      </c>
    </row>
    <row r="71" spans="1:13" ht="11.25" customHeight="1" x14ac:dyDescent="0.25">
      <c r="B71" s="2402"/>
      <c r="C71" s="2403" t="s">
        <v>375</v>
      </c>
      <c r="D71" s="2424"/>
      <c r="E71" s="2491">
        <f>SUM(E67:E70)</f>
        <v>2180</v>
      </c>
      <c r="F71" s="2487">
        <f t="shared" ref="F71:M71" si="3">SUM(F67:F70)</f>
        <v>3590</v>
      </c>
      <c r="G71" s="2488">
        <f t="shared" si="3"/>
        <v>0</v>
      </c>
      <c r="H71" s="2489">
        <f t="shared" si="3"/>
        <v>75633</v>
      </c>
      <c r="I71" s="2487">
        <f t="shared" si="3"/>
        <v>75633</v>
      </c>
      <c r="J71" s="2490">
        <f t="shared" si="3"/>
        <v>75633</v>
      </c>
      <c r="K71" s="2491">
        <f t="shared" si="3"/>
        <v>86611</v>
      </c>
      <c r="L71" s="2487">
        <f t="shared" si="3"/>
        <v>91721.048999999999</v>
      </c>
      <c r="M71" s="2488">
        <f t="shared" si="3"/>
        <v>96857.427743999986</v>
      </c>
    </row>
    <row r="72" spans="1:13" ht="11.25" customHeight="1" x14ac:dyDescent="0.25">
      <c r="B72" s="2402">
        <v>9</v>
      </c>
      <c r="C72" s="2401" t="s">
        <v>504</v>
      </c>
      <c r="D72" s="2424"/>
      <c r="E72" s="1660"/>
      <c r="F72" s="1656"/>
      <c r="G72" s="1657"/>
      <c r="H72" s="2486"/>
      <c r="I72" s="1656"/>
      <c r="J72" s="1659"/>
      <c r="K72" s="1660"/>
      <c r="L72" s="1656"/>
      <c r="M72" s="1657"/>
    </row>
    <row r="73" spans="1:13" ht="11.25" customHeight="1" x14ac:dyDescent="0.25">
      <c r="B73" s="2402">
        <v>10</v>
      </c>
      <c r="C73" s="2401" t="s">
        <v>505</v>
      </c>
      <c r="D73" s="2424"/>
      <c r="E73" s="1660"/>
      <c r="F73" s="1656"/>
      <c r="G73" s="1657"/>
      <c r="H73" s="2486"/>
      <c r="I73" s="1656"/>
      <c r="J73" s="1659"/>
      <c r="K73" s="1660">
        <v>8574</v>
      </c>
      <c r="L73" s="1656">
        <v>9079.866</v>
      </c>
      <c r="M73" s="1657">
        <v>9588.3384960000003</v>
      </c>
    </row>
    <row r="74" spans="1:13" ht="11.25" customHeight="1" x14ac:dyDescent="0.25">
      <c r="B74" s="2391"/>
      <c r="C74" s="2401" t="s">
        <v>966</v>
      </c>
      <c r="D74" s="2424"/>
      <c r="E74" s="1660"/>
      <c r="F74" s="1656"/>
      <c r="G74" s="1657"/>
      <c r="H74" s="2486"/>
      <c r="I74" s="1656"/>
      <c r="J74" s="1659"/>
      <c r="K74" s="1660">
        <v>953</v>
      </c>
      <c r="L74" s="1656">
        <v>1009.227</v>
      </c>
      <c r="M74" s="1657">
        <v>1065.743712</v>
      </c>
    </row>
    <row r="75" spans="1:13" ht="11.25" customHeight="1" x14ac:dyDescent="0.25">
      <c r="B75" s="2391"/>
      <c r="C75" s="2403" t="s">
        <v>1281</v>
      </c>
      <c r="D75" s="2424"/>
      <c r="E75" s="2496">
        <f>SUM(E72:E74)</f>
        <v>0</v>
      </c>
      <c r="F75" s="2492">
        <f t="shared" ref="F75:M75" si="4">SUM(F72:F74)</f>
        <v>0</v>
      </c>
      <c r="G75" s="2493">
        <f t="shared" si="4"/>
        <v>0</v>
      </c>
      <c r="H75" s="2494">
        <f t="shared" si="4"/>
        <v>0</v>
      </c>
      <c r="I75" s="2492">
        <f t="shared" si="4"/>
        <v>0</v>
      </c>
      <c r="J75" s="2495">
        <f t="shared" si="4"/>
        <v>0</v>
      </c>
      <c r="K75" s="2496">
        <f t="shared" si="4"/>
        <v>9527</v>
      </c>
      <c r="L75" s="2492">
        <f t="shared" si="4"/>
        <v>10089.093000000001</v>
      </c>
      <c r="M75" s="2493">
        <f t="shared" si="4"/>
        <v>10654.082208</v>
      </c>
    </row>
    <row r="76" spans="1:13" ht="11.25" customHeight="1" x14ac:dyDescent="0.25">
      <c r="B76" s="2391"/>
      <c r="C76" s="2404" t="s">
        <v>1319</v>
      </c>
      <c r="D76" s="2424"/>
      <c r="E76" s="2501">
        <f>E71+E75</f>
        <v>2180</v>
      </c>
      <c r="F76" s="2497">
        <f t="shared" ref="F76:M76" si="5">F71+F75</f>
        <v>3590</v>
      </c>
      <c r="G76" s="2498">
        <f t="shared" si="5"/>
        <v>0</v>
      </c>
      <c r="H76" s="2499">
        <f t="shared" si="5"/>
        <v>75633</v>
      </c>
      <c r="I76" s="2497">
        <f t="shared" si="5"/>
        <v>75633</v>
      </c>
      <c r="J76" s="2500">
        <f t="shared" si="5"/>
        <v>75633</v>
      </c>
      <c r="K76" s="2501">
        <f t="shared" si="5"/>
        <v>96138</v>
      </c>
      <c r="L76" s="2497">
        <f t="shared" si="5"/>
        <v>101810.14199999999</v>
      </c>
      <c r="M76" s="2498">
        <f t="shared" si="5"/>
        <v>107511.50995199999</v>
      </c>
    </row>
    <row r="77" spans="1:13" ht="11.25" customHeight="1" x14ac:dyDescent="0.25">
      <c r="B77" s="2391"/>
      <c r="C77" s="2400" t="s">
        <v>1320</v>
      </c>
      <c r="D77" s="2424"/>
      <c r="E77" s="2506"/>
      <c r="F77" s="2502"/>
      <c r="G77" s="2505"/>
      <c r="H77" s="2504"/>
      <c r="I77" s="2502"/>
      <c r="J77" s="2505"/>
      <c r="K77" s="2506"/>
      <c r="L77" s="2502"/>
      <c r="M77" s="2503"/>
    </row>
    <row r="78" spans="1:13" ht="11.25" customHeight="1" x14ac:dyDescent="0.25">
      <c r="B78" s="2391"/>
      <c r="C78" s="2401" t="s">
        <v>1321</v>
      </c>
      <c r="D78" s="2424"/>
      <c r="E78" s="1660"/>
      <c r="F78" s="1656"/>
      <c r="G78" s="1657"/>
      <c r="H78" s="2486">
        <v>17201</v>
      </c>
      <c r="I78" s="1656">
        <v>17201</v>
      </c>
      <c r="J78" s="1659">
        <v>17201</v>
      </c>
      <c r="K78" s="1660">
        <v>17201</v>
      </c>
      <c r="L78" s="1656">
        <v>18215.859</v>
      </c>
      <c r="M78" s="1657">
        <v>19235.947104000003</v>
      </c>
    </row>
    <row r="79" spans="1:13" ht="11.25" customHeight="1" x14ac:dyDescent="0.25">
      <c r="B79" s="2391"/>
      <c r="C79" s="2401" t="s">
        <v>1322</v>
      </c>
      <c r="D79" s="2424"/>
      <c r="E79" s="1660"/>
      <c r="F79" s="1656"/>
      <c r="G79" s="1657"/>
      <c r="H79" s="2486"/>
      <c r="I79" s="1656"/>
      <c r="J79" s="1659"/>
      <c r="K79" s="1660"/>
      <c r="L79" s="1656"/>
      <c r="M79" s="1657"/>
    </row>
    <row r="80" spans="1:13" ht="11.25" customHeight="1" x14ac:dyDescent="0.25">
      <c r="B80" s="2391"/>
      <c r="C80" s="2401" t="s">
        <v>1393</v>
      </c>
      <c r="D80" s="2424"/>
      <c r="E80" s="1660"/>
      <c r="F80" s="1656"/>
      <c r="G80" s="1657"/>
      <c r="H80" s="2486"/>
      <c r="I80" s="1656"/>
      <c r="J80" s="1659"/>
      <c r="K80" s="1660"/>
      <c r="L80" s="1656"/>
      <c r="M80" s="1657"/>
    </row>
    <row r="81" spans="2:13" ht="11.25" customHeight="1" x14ac:dyDescent="0.25">
      <c r="B81" s="2391"/>
      <c r="C81" s="2401" t="s">
        <v>241</v>
      </c>
      <c r="D81" s="2424"/>
      <c r="E81" s="1660">
        <v>863</v>
      </c>
      <c r="F81" s="1656">
        <v>709</v>
      </c>
      <c r="G81" s="1657"/>
      <c r="H81" s="2486"/>
      <c r="I81" s="1656"/>
      <c r="J81" s="1659"/>
      <c r="K81" s="1660"/>
      <c r="L81" s="1656"/>
      <c r="M81" s="1657"/>
    </row>
    <row r="82" spans="2:13" ht="11.25" customHeight="1" x14ac:dyDescent="0.25">
      <c r="B82" s="2391"/>
      <c r="C82" s="2401" t="s">
        <v>243</v>
      </c>
      <c r="D82" s="2424"/>
      <c r="E82" s="1660"/>
      <c r="F82" s="1656"/>
      <c r="G82" s="1657"/>
      <c r="H82" s="2486"/>
      <c r="I82" s="1656"/>
      <c r="J82" s="1659"/>
      <c r="K82" s="1660"/>
      <c r="L82" s="1656"/>
      <c r="M82" s="1657"/>
    </row>
    <row r="83" spans="2:13" ht="11.25" customHeight="1" x14ac:dyDescent="0.25">
      <c r="B83" s="2391"/>
      <c r="C83" s="2403" t="s">
        <v>375</v>
      </c>
      <c r="D83" s="2424"/>
      <c r="E83" s="2491">
        <f>SUM(E78:E82)</f>
        <v>863</v>
      </c>
      <c r="F83" s="2487">
        <f t="shared" ref="F83:M83" si="6">SUM(F78:F82)</f>
        <v>709</v>
      </c>
      <c r="G83" s="2488">
        <f t="shared" si="6"/>
        <v>0</v>
      </c>
      <c r="H83" s="2489">
        <f t="shared" si="6"/>
        <v>17201</v>
      </c>
      <c r="I83" s="2487">
        <f t="shared" si="6"/>
        <v>17201</v>
      </c>
      <c r="J83" s="2490">
        <f t="shared" si="6"/>
        <v>17201</v>
      </c>
      <c r="K83" s="2491">
        <f t="shared" si="6"/>
        <v>17201</v>
      </c>
      <c r="L83" s="2487">
        <f t="shared" si="6"/>
        <v>18215.859</v>
      </c>
      <c r="M83" s="2488">
        <f t="shared" si="6"/>
        <v>19235.947104000003</v>
      </c>
    </row>
    <row r="84" spans="2:13" ht="11.25" customHeight="1" x14ac:dyDescent="0.25">
      <c r="B84" s="2391"/>
      <c r="C84" s="2401" t="s">
        <v>242</v>
      </c>
      <c r="D84" s="2424"/>
      <c r="E84" s="1660"/>
      <c r="F84" s="1656"/>
      <c r="G84" s="1657"/>
      <c r="H84" s="2486"/>
      <c r="I84" s="1656"/>
      <c r="J84" s="1659"/>
      <c r="K84" s="1660"/>
      <c r="L84" s="1656"/>
      <c r="M84" s="1657"/>
    </row>
    <row r="85" spans="2:13" ht="11.25" customHeight="1" x14ac:dyDescent="0.25">
      <c r="B85" s="2391"/>
      <c r="C85" s="2401" t="s">
        <v>1226</v>
      </c>
      <c r="D85" s="2424"/>
      <c r="E85" s="1660"/>
      <c r="F85" s="1656"/>
      <c r="G85" s="1657"/>
      <c r="H85" s="2486"/>
      <c r="I85" s="1656"/>
      <c r="J85" s="1659"/>
      <c r="K85" s="1660"/>
      <c r="L85" s="1656"/>
      <c r="M85" s="1657"/>
    </row>
    <row r="86" spans="2:13" ht="11.25" customHeight="1" x14ac:dyDescent="0.25">
      <c r="B86" s="2391"/>
      <c r="C86" s="2401" t="s">
        <v>1395</v>
      </c>
      <c r="D86" s="2424"/>
      <c r="E86" s="1660"/>
      <c r="F86" s="1656"/>
      <c r="G86" s="1657"/>
      <c r="H86" s="2486"/>
      <c r="I86" s="1656"/>
      <c r="J86" s="1659"/>
      <c r="K86" s="1660"/>
      <c r="L86" s="1656"/>
      <c r="M86" s="1657"/>
    </row>
    <row r="87" spans="2:13" ht="11.25" customHeight="1" x14ac:dyDescent="0.25">
      <c r="B87" s="2391"/>
      <c r="C87" s="2403" t="s">
        <v>1281</v>
      </c>
      <c r="D87" s="2424"/>
      <c r="E87" s="2496">
        <f>SUM(E84:E86)</f>
        <v>0</v>
      </c>
      <c r="F87" s="2492">
        <f t="shared" ref="F87:M87" si="7">SUM(F84:F86)</f>
        <v>0</v>
      </c>
      <c r="G87" s="2493">
        <f t="shared" si="7"/>
        <v>0</v>
      </c>
      <c r="H87" s="2494">
        <f t="shared" si="7"/>
        <v>0</v>
      </c>
      <c r="I87" s="2492">
        <f t="shared" si="7"/>
        <v>0</v>
      </c>
      <c r="J87" s="2495">
        <f t="shared" si="7"/>
        <v>0</v>
      </c>
      <c r="K87" s="2496">
        <f t="shared" si="7"/>
        <v>0</v>
      </c>
      <c r="L87" s="2492">
        <f t="shared" si="7"/>
        <v>0</v>
      </c>
      <c r="M87" s="2493">
        <f t="shared" si="7"/>
        <v>0</v>
      </c>
    </row>
    <row r="88" spans="2:13" ht="11.25" customHeight="1" x14ac:dyDescent="0.25">
      <c r="B88" s="2391"/>
      <c r="C88" s="2404" t="s">
        <v>1319</v>
      </c>
      <c r="D88" s="2424"/>
      <c r="E88" s="2501">
        <f>E83+E87</f>
        <v>863</v>
      </c>
      <c r="F88" s="2497">
        <f t="shared" ref="F88:M88" si="8">F83+F87</f>
        <v>709</v>
      </c>
      <c r="G88" s="2498">
        <f t="shared" si="8"/>
        <v>0</v>
      </c>
      <c r="H88" s="2499">
        <f t="shared" si="8"/>
        <v>17201</v>
      </c>
      <c r="I88" s="2497">
        <f t="shared" si="8"/>
        <v>17201</v>
      </c>
      <c r="J88" s="2500">
        <f t="shared" si="8"/>
        <v>17201</v>
      </c>
      <c r="K88" s="2501">
        <f t="shared" si="8"/>
        <v>17201</v>
      </c>
      <c r="L88" s="2497">
        <f t="shared" si="8"/>
        <v>18215.859</v>
      </c>
      <c r="M88" s="2498">
        <f t="shared" si="8"/>
        <v>19235.947104000003</v>
      </c>
    </row>
    <row r="89" spans="2:13" ht="11.25" customHeight="1" x14ac:dyDescent="0.25">
      <c r="B89" s="2391"/>
      <c r="C89" s="2400" t="s">
        <v>684</v>
      </c>
      <c r="D89" s="2424"/>
      <c r="E89" s="2506"/>
      <c r="F89" s="2502"/>
      <c r="G89" s="2505"/>
      <c r="H89" s="2504"/>
      <c r="I89" s="2502"/>
      <c r="J89" s="2505"/>
      <c r="K89" s="2506"/>
      <c r="L89" s="2502"/>
      <c r="M89" s="2503"/>
    </row>
    <row r="90" spans="2:13" ht="11.25" customHeight="1" x14ac:dyDescent="0.25">
      <c r="B90" s="2391"/>
      <c r="C90" s="2401" t="s">
        <v>1227</v>
      </c>
      <c r="D90" s="2424"/>
      <c r="E90" s="1660"/>
      <c r="F90" s="1656"/>
      <c r="G90" s="1657"/>
      <c r="H90" s="2486"/>
      <c r="I90" s="1656"/>
      <c r="J90" s="1659"/>
      <c r="K90" s="1660"/>
      <c r="L90" s="1656"/>
      <c r="M90" s="1657"/>
    </row>
    <row r="91" spans="2:13" ht="11.25" customHeight="1" x14ac:dyDescent="0.25">
      <c r="B91" s="2391"/>
      <c r="C91" s="2401" t="s">
        <v>506</v>
      </c>
      <c r="D91" s="2424"/>
      <c r="E91" s="1660"/>
      <c r="F91" s="1656"/>
      <c r="G91" s="1657"/>
      <c r="H91" s="2486">
        <v>373</v>
      </c>
      <c r="I91" s="1656">
        <v>373</v>
      </c>
      <c r="J91" s="1659">
        <v>373</v>
      </c>
      <c r="K91" s="1660">
        <v>0</v>
      </c>
      <c r="L91" s="1656">
        <v>0</v>
      </c>
      <c r="M91" s="1657">
        <v>0</v>
      </c>
    </row>
    <row r="92" spans="2:13" ht="11.25" customHeight="1" x14ac:dyDescent="0.25">
      <c r="B92" s="2391"/>
      <c r="C92" s="2403" t="s">
        <v>375</v>
      </c>
      <c r="D92" s="2424"/>
      <c r="E92" s="2491">
        <f>SUM(E90:E91)</f>
        <v>0</v>
      </c>
      <c r="F92" s="2487">
        <f t="shared" ref="F92:M92" si="9">SUM(F90:F91)</f>
        <v>0</v>
      </c>
      <c r="G92" s="2488">
        <f t="shared" si="9"/>
        <v>0</v>
      </c>
      <c r="H92" s="2489">
        <f t="shared" si="9"/>
        <v>373</v>
      </c>
      <c r="I92" s="2487">
        <f t="shared" si="9"/>
        <v>373</v>
      </c>
      <c r="J92" s="2490">
        <f t="shared" si="9"/>
        <v>373</v>
      </c>
      <c r="K92" s="2491">
        <f t="shared" si="9"/>
        <v>0</v>
      </c>
      <c r="L92" s="2487">
        <f t="shared" si="9"/>
        <v>0</v>
      </c>
      <c r="M92" s="2488">
        <f t="shared" si="9"/>
        <v>0</v>
      </c>
    </row>
    <row r="93" spans="2:13" ht="11.25" customHeight="1" x14ac:dyDescent="0.25">
      <c r="B93" s="2391"/>
      <c r="C93" s="2401" t="s">
        <v>507</v>
      </c>
      <c r="D93" s="2424"/>
      <c r="E93" s="1660"/>
      <c r="F93" s="1656"/>
      <c r="G93" s="1657"/>
      <c r="H93" s="2486"/>
      <c r="I93" s="1656"/>
      <c r="J93" s="1659"/>
      <c r="K93" s="1660"/>
      <c r="L93" s="1656"/>
      <c r="M93" s="1657"/>
    </row>
    <row r="94" spans="2:13" ht="11.25" customHeight="1" x14ac:dyDescent="0.25">
      <c r="B94" s="2391"/>
      <c r="C94" s="2401" t="s">
        <v>508</v>
      </c>
      <c r="D94" s="2424"/>
      <c r="E94" s="1660"/>
      <c r="F94" s="1656"/>
      <c r="G94" s="1657"/>
      <c r="H94" s="2486"/>
      <c r="I94" s="1656"/>
      <c r="J94" s="1659"/>
      <c r="K94" s="1660"/>
      <c r="L94" s="1656"/>
      <c r="M94" s="1657"/>
    </row>
    <row r="95" spans="2:13" ht="11.25" customHeight="1" x14ac:dyDescent="0.25">
      <c r="B95" s="2391"/>
      <c r="C95" s="2401" t="s">
        <v>685</v>
      </c>
      <c r="D95" s="2424"/>
      <c r="E95" s="1660"/>
      <c r="F95" s="1656"/>
      <c r="G95" s="1657"/>
      <c r="H95" s="2486"/>
      <c r="I95" s="1656"/>
      <c r="J95" s="1659"/>
      <c r="K95" s="1660"/>
      <c r="L95" s="1656"/>
      <c r="M95" s="1657"/>
    </row>
    <row r="96" spans="2:13" ht="11.25" customHeight="1" x14ac:dyDescent="0.25">
      <c r="B96" s="2391"/>
      <c r="C96" s="2403" t="s">
        <v>1281</v>
      </c>
      <c r="D96" s="2424"/>
      <c r="E96" s="2496">
        <f>SUM(E93:E95)</f>
        <v>0</v>
      </c>
      <c r="F96" s="2492">
        <f t="shared" ref="F96:M96" si="10">SUM(F93:F95)</f>
        <v>0</v>
      </c>
      <c r="G96" s="2493">
        <f t="shared" si="10"/>
        <v>0</v>
      </c>
      <c r="H96" s="2494">
        <f t="shared" si="10"/>
        <v>0</v>
      </c>
      <c r="I96" s="2492">
        <f t="shared" si="10"/>
        <v>0</v>
      </c>
      <c r="J96" s="2495">
        <f t="shared" si="10"/>
        <v>0</v>
      </c>
      <c r="K96" s="2496">
        <f t="shared" si="10"/>
        <v>0</v>
      </c>
      <c r="L96" s="2492">
        <f t="shared" si="10"/>
        <v>0</v>
      </c>
      <c r="M96" s="2493">
        <f t="shared" si="10"/>
        <v>0</v>
      </c>
    </row>
    <row r="97" spans="1:13" ht="11.25" customHeight="1" x14ac:dyDescent="0.25">
      <c r="B97" s="2391"/>
      <c r="C97" s="2404" t="s">
        <v>1319</v>
      </c>
      <c r="D97" s="2424"/>
      <c r="E97" s="2501">
        <f>E92+E96</f>
        <v>0</v>
      </c>
      <c r="F97" s="2497">
        <f t="shared" ref="F97:M97" si="11">F92+F96</f>
        <v>0</v>
      </c>
      <c r="G97" s="2498">
        <f t="shared" si="11"/>
        <v>0</v>
      </c>
      <c r="H97" s="2499">
        <f t="shared" si="11"/>
        <v>373</v>
      </c>
      <c r="I97" s="2497">
        <f t="shared" si="11"/>
        <v>373</v>
      </c>
      <c r="J97" s="2500">
        <f t="shared" si="11"/>
        <v>373</v>
      </c>
      <c r="K97" s="2501">
        <f t="shared" si="11"/>
        <v>0</v>
      </c>
      <c r="L97" s="2497">
        <f t="shared" si="11"/>
        <v>0</v>
      </c>
      <c r="M97" s="2498">
        <f t="shared" si="11"/>
        <v>0</v>
      </c>
    </row>
    <row r="98" spans="1:13" ht="11.25" customHeight="1" x14ac:dyDescent="0.25">
      <c r="B98" s="2391"/>
      <c r="C98" s="2400" t="s">
        <v>688</v>
      </c>
      <c r="D98" s="2424"/>
      <c r="E98" s="2506"/>
      <c r="F98" s="2502"/>
      <c r="G98" s="2505"/>
      <c r="H98" s="2504"/>
      <c r="I98" s="2502"/>
      <c r="J98" s="2505"/>
      <c r="K98" s="2506"/>
      <c r="L98" s="2502"/>
      <c r="M98" s="2503"/>
    </row>
    <row r="99" spans="1:13" ht="11.25" customHeight="1" x14ac:dyDescent="0.25">
      <c r="B99" s="2391"/>
      <c r="C99" s="2401" t="s">
        <v>740</v>
      </c>
      <c r="D99" s="2424"/>
      <c r="E99" s="1670">
        <v>20600</v>
      </c>
      <c r="F99" s="1665">
        <v>0</v>
      </c>
      <c r="G99" s="1666"/>
      <c r="H99" s="2507">
        <v>75000</v>
      </c>
      <c r="I99" s="1665">
        <v>75000</v>
      </c>
      <c r="J99" s="2508">
        <v>75000</v>
      </c>
      <c r="K99" s="1670"/>
      <c r="L99" s="1665"/>
      <c r="M99" s="1666"/>
    </row>
    <row r="100" spans="1:13" ht="11.25" customHeight="1" x14ac:dyDescent="0.25">
      <c r="B100" s="2391"/>
      <c r="C100" s="2403" t="s">
        <v>375</v>
      </c>
      <c r="D100" s="2424"/>
      <c r="E100" s="2506">
        <f>SUM(E99)</f>
        <v>20600</v>
      </c>
      <c r="F100" s="2502">
        <f t="shared" ref="F100:M100" si="12">SUM(F99)</f>
        <v>0</v>
      </c>
      <c r="G100" s="2503">
        <f t="shared" si="12"/>
        <v>0</v>
      </c>
      <c r="H100" s="2504">
        <f t="shared" si="12"/>
        <v>75000</v>
      </c>
      <c r="I100" s="2502">
        <f t="shared" si="12"/>
        <v>75000</v>
      </c>
      <c r="J100" s="2505">
        <f t="shared" si="12"/>
        <v>75000</v>
      </c>
      <c r="K100" s="2506">
        <f t="shared" si="12"/>
        <v>0</v>
      </c>
      <c r="L100" s="2502">
        <f t="shared" si="12"/>
        <v>0</v>
      </c>
      <c r="M100" s="2503">
        <f t="shared" si="12"/>
        <v>0</v>
      </c>
    </row>
    <row r="101" spans="1:13" ht="11.25" customHeight="1" x14ac:dyDescent="0.25">
      <c r="B101" s="2391"/>
      <c r="C101" s="2401" t="s">
        <v>689</v>
      </c>
      <c r="D101" s="2424"/>
      <c r="E101" s="1660"/>
      <c r="F101" s="1656"/>
      <c r="G101" s="1657"/>
      <c r="H101" s="2486"/>
      <c r="I101" s="1656"/>
      <c r="J101" s="1659"/>
      <c r="K101" s="1660"/>
      <c r="L101" s="1656"/>
      <c r="M101" s="1657"/>
    </row>
    <row r="102" spans="1:13" ht="11.25" customHeight="1" x14ac:dyDescent="0.25">
      <c r="B102" s="2391"/>
      <c r="C102" s="2401" t="s">
        <v>690</v>
      </c>
      <c r="D102" s="2424"/>
      <c r="E102" s="1660"/>
      <c r="F102" s="1656"/>
      <c r="G102" s="1657"/>
      <c r="H102" s="2486"/>
      <c r="I102" s="1656"/>
      <c r="J102" s="1659"/>
      <c r="K102" s="1660"/>
      <c r="L102" s="1656"/>
      <c r="M102" s="1657"/>
    </row>
    <row r="103" spans="1:13" ht="11.25" customHeight="1" x14ac:dyDescent="0.25">
      <c r="B103" s="2391"/>
      <c r="C103" s="2401" t="s">
        <v>878</v>
      </c>
      <c r="D103" s="2424"/>
      <c r="E103" s="1660"/>
      <c r="F103" s="1656"/>
      <c r="G103" s="1657"/>
      <c r="H103" s="2486"/>
      <c r="I103" s="1656"/>
      <c r="J103" s="1659"/>
      <c r="K103" s="1660"/>
      <c r="L103" s="1656"/>
      <c r="M103" s="1657"/>
    </row>
    <row r="104" spans="1:13" ht="11.25" customHeight="1" x14ac:dyDescent="0.25">
      <c r="B104" s="2391"/>
      <c r="C104" s="2401" t="s">
        <v>879</v>
      </c>
      <c r="D104" s="2424"/>
      <c r="E104" s="1660"/>
      <c r="F104" s="1656"/>
      <c r="G104" s="1657"/>
      <c r="H104" s="2486"/>
      <c r="I104" s="1656"/>
      <c r="J104" s="1659"/>
      <c r="K104" s="1660"/>
      <c r="L104" s="1656"/>
      <c r="M104" s="1657"/>
    </row>
    <row r="105" spans="1:13" ht="11.25" customHeight="1" x14ac:dyDescent="0.25">
      <c r="B105" s="2391"/>
      <c r="C105" s="2401" t="s">
        <v>198</v>
      </c>
      <c r="D105" s="2424"/>
      <c r="E105" s="1660"/>
      <c r="F105" s="1656"/>
      <c r="G105" s="1657"/>
      <c r="H105" s="2486"/>
      <c r="I105" s="1656"/>
      <c r="J105" s="1659"/>
      <c r="K105" s="1660"/>
      <c r="L105" s="1656"/>
      <c r="M105" s="1657"/>
    </row>
    <row r="106" spans="1:13" ht="11.25" customHeight="1" x14ac:dyDescent="0.25">
      <c r="B106" s="2391"/>
      <c r="C106" s="2403" t="s">
        <v>1281</v>
      </c>
      <c r="D106" s="2424"/>
      <c r="E106" s="2496">
        <f t="shared" ref="E106:M106" si="13">SUM(E101:E105)</f>
        <v>0</v>
      </c>
      <c r="F106" s="2492">
        <f t="shared" si="13"/>
        <v>0</v>
      </c>
      <c r="G106" s="2493">
        <f t="shared" si="13"/>
        <v>0</v>
      </c>
      <c r="H106" s="2494">
        <f t="shared" si="13"/>
        <v>0</v>
      </c>
      <c r="I106" s="2492">
        <f t="shared" si="13"/>
        <v>0</v>
      </c>
      <c r="J106" s="2495">
        <f t="shared" si="13"/>
        <v>0</v>
      </c>
      <c r="K106" s="2496">
        <f t="shared" si="13"/>
        <v>0</v>
      </c>
      <c r="L106" s="2492">
        <f t="shared" si="13"/>
        <v>0</v>
      </c>
      <c r="M106" s="2493">
        <f t="shared" si="13"/>
        <v>0</v>
      </c>
    </row>
    <row r="107" spans="1:13" ht="11.25" customHeight="1" x14ac:dyDescent="0.25">
      <c r="B107" s="2391"/>
      <c r="C107" s="2404" t="s">
        <v>1319</v>
      </c>
      <c r="D107" s="2424"/>
      <c r="E107" s="2501">
        <f>E100+E106</f>
        <v>20600</v>
      </c>
      <c r="F107" s="2497">
        <f t="shared" ref="F107:M107" si="14">F100+F106</f>
        <v>0</v>
      </c>
      <c r="G107" s="2498">
        <f t="shared" si="14"/>
        <v>0</v>
      </c>
      <c r="H107" s="2499">
        <f t="shared" si="14"/>
        <v>75000</v>
      </c>
      <c r="I107" s="2497">
        <f t="shared" si="14"/>
        <v>75000</v>
      </c>
      <c r="J107" s="2500">
        <f t="shared" si="14"/>
        <v>75000</v>
      </c>
      <c r="K107" s="2501">
        <f t="shared" si="14"/>
        <v>0</v>
      </c>
      <c r="L107" s="2497">
        <f t="shared" si="14"/>
        <v>0</v>
      </c>
      <c r="M107" s="2498">
        <f t="shared" si="14"/>
        <v>0</v>
      </c>
    </row>
    <row r="108" spans="1:13" ht="5.0999999999999996" customHeight="1" x14ac:dyDescent="0.25">
      <c r="B108" s="2391"/>
      <c r="C108" s="2405"/>
      <c r="D108" s="2425"/>
      <c r="E108" s="1142"/>
      <c r="F108" s="1138"/>
      <c r="G108" s="1139"/>
      <c r="H108" s="1140"/>
      <c r="I108" s="1138"/>
      <c r="J108" s="1141"/>
      <c r="K108" s="1142"/>
      <c r="L108" s="1138"/>
      <c r="M108" s="1139"/>
    </row>
    <row r="109" spans="1:13" ht="24.95" customHeight="1" x14ac:dyDescent="0.25">
      <c r="A109" s="2817" t="s">
        <v>2072</v>
      </c>
      <c r="B109" s="2382"/>
      <c r="C109" s="2383"/>
      <c r="D109" s="2384"/>
      <c r="E109" s="2385" t="str">
        <f>head1b</f>
        <v>2011/12</v>
      </c>
      <c r="F109" s="1119" t="str">
        <f>head1A</f>
        <v>2012/13</v>
      </c>
      <c r="G109" s="1120" t="str">
        <f>Head1</f>
        <v>2013/14</v>
      </c>
      <c r="H109" s="2774" t="str">
        <f>Head2</f>
        <v>Current Year 2014/15</v>
      </c>
      <c r="I109" s="2775"/>
      <c r="J109" s="2776"/>
      <c r="K109" s="2774" t="str">
        <f>Head3</f>
        <v>2015/16 Medium Term Revenue &amp; Expenditure Framework</v>
      </c>
      <c r="L109" s="2775"/>
      <c r="M109" s="2776"/>
    </row>
    <row r="110" spans="1:13" ht="24.95" customHeight="1" x14ac:dyDescent="0.25">
      <c r="A110" s="2817"/>
      <c r="B110" s="2386" t="s">
        <v>1982</v>
      </c>
      <c r="C110" s="1580"/>
      <c r="D110" s="1581"/>
      <c r="E110" s="2387" t="str">
        <f>Head5A</f>
        <v>Outcome</v>
      </c>
      <c r="F110" s="2388" t="str">
        <f>Head5A</f>
        <v>Outcome</v>
      </c>
      <c r="G110" s="2389" t="str">
        <f>Head5A</f>
        <v>Outcome</v>
      </c>
      <c r="H110" s="2390" t="str">
        <f>Head6</f>
        <v>Original Budget</v>
      </c>
      <c r="I110" s="2388" t="str">
        <f>Head7</f>
        <v>Adjusted Budget</v>
      </c>
      <c r="J110" s="2389" t="str">
        <f>Head8</f>
        <v>Full Year Forecast</v>
      </c>
      <c r="K110" s="2390" t="str">
        <f>Head9</f>
        <v>Budget Year 2015/16</v>
      </c>
      <c r="L110" s="2388" t="str">
        <f>Head10</f>
        <v>Budget Year +1 2016/17</v>
      </c>
      <c r="M110" s="2389" t="str">
        <f>Head11</f>
        <v>Budget Year +2 2017/18</v>
      </c>
    </row>
    <row r="111" spans="1:13" ht="11.25" customHeight="1" x14ac:dyDescent="0.25">
      <c r="B111" s="2391"/>
      <c r="C111" s="2392" t="s">
        <v>200</v>
      </c>
      <c r="D111" s="2424"/>
      <c r="E111" s="555"/>
      <c r="F111" s="2393"/>
      <c r="G111" s="2394"/>
      <c r="H111" s="2395"/>
      <c r="I111" s="2396"/>
      <c r="J111" s="2397"/>
      <c r="K111" s="2398"/>
      <c r="L111" s="2396"/>
      <c r="M111" s="2399"/>
    </row>
    <row r="112" spans="1:13" ht="11.25" customHeight="1" x14ac:dyDescent="0.25">
      <c r="B112" s="2391"/>
      <c r="C112" s="2400" t="s">
        <v>1848</v>
      </c>
      <c r="D112" s="2424"/>
      <c r="E112" s="1130"/>
      <c r="F112" s="1126"/>
      <c r="G112" s="1129"/>
      <c r="H112" s="1061"/>
      <c r="I112" s="1059"/>
      <c r="J112" s="1062"/>
      <c r="K112" s="1063"/>
      <c r="L112" s="1059"/>
      <c r="M112" s="1060"/>
    </row>
    <row r="113" spans="2:13" ht="11.25" customHeight="1" x14ac:dyDescent="0.25">
      <c r="B113" s="2391"/>
      <c r="C113" s="2401" t="s">
        <v>1636</v>
      </c>
      <c r="D113" s="2424"/>
      <c r="E113" s="1660"/>
      <c r="F113" s="1656"/>
      <c r="G113" s="1657"/>
      <c r="H113" s="2486"/>
      <c r="I113" s="1656"/>
      <c r="J113" s="1659"/>
      <c r="K113" s="1660"/>
      <c r="L113" s="1656"/>
      <c r="M113" s="1657"/>
    </row>
    <row r="114" spans="2:13" ht="11.25" customHeight="1" x14ac:dyDescent="0.25">
      <c r="B114" s="2391"/>
      <c r="C114" s="2401" t="s">
        <v>1847</v>
      </c>
      <c r="D114" s="2424"/>
      <c r="E114" s="1660">
        <v>3000</v>
      </c>
      <c r="F114" s="1656"/>
      <c r="G114" s="1657"/>
      <c r="H114" s="2486"/>
      <c r="I114" s="1656"/>
      <c r="J114" s="1659"/>
      <c r="K114" s="1660"/>
      <c r="L114" s="1656"/>
      <c r="M114" s="1657"/>
    </row>
    <row r="115" spans="2:13" ht="11.25" customHeight="1" x14ac:dyDescent="0.25">
      <c r="B115" s="2402">
        <v>8</v>
      </c>
      <c r="C115" s="2401" t="s">
        <v>131</v>
      </c>
      <c r="D115" s="2424"/>
      <c r="E115" s="1660"/>
      <c r="F115" s="1656"/>
      <c r="G115" s="1657"/>
      <c r="H115" s="2486"/>
      <c r="I115" s="1656"/>
      <c r="J115" s="1659"/>
      <c r="K115" s="1660"/>
      <c r="L115" s="1656"/>
      <c r="M115" s="1657"/>
    </row>
    <row r="116" spans="2:13" ht="11.25" customHeight="1" x14ac:dyDescent="0.25">
      <c r="B116" s="2402">
        <v>10</v>
      </c>
      <c r="C116" s="2401" t="s">
        <v>132</v>
      </c>
      <c r="D116" s="2424"/>
      <c r="E116" s="1660"/>
      <c r="F116" s="1656"/>
      <c r="G116" s="1657"/>
      <c r="H116" s="2486"/>
      <c r="I116" s="1656"/>
      <c r="J116" s="1659"/>
      <c r="K116" s="1660"/>
      <c r="L116" s="1656"/>
      <c r="M116" s="1657"/>
    </row>
    <row r="117" spans="2:13" ht="11.25" customHeight="1" x14ac:dyDescent="0.25">
      <c r="B117" s="2402"/>
      <c r="C117" s="2403" t="s">
        <v>375</v>
      </c>
      <c r="D117" s="2424"/>
      <c r="E117" s="2491">
        <f>SUM(E113:E116)</f>
        <v>3000</v>
      </c>
      <c r="F117" s="2487">
        <f t="shared" ref="F117:M117" si="15">SUM(F113:F116)</f>
        <v>0</v>
      </c>
      <c r="G117" s="2488">
        <f t="shared" si="15"/>
        <v>0</v>
      </c>
      <c r="H117" s="2489">
        <f t="shared" si="15"/>
        <v>0</v>
      </c>
      <c r="I117" s="2487">
        <f t="shared" si="15"/>
        <v>0</v>
      </c>
      <c r="J117" s="2490">
        <f t="shared" si="15"/>
        <v>0</v>
      </c>
      <c r="K117" s="2491">
        <f t="shared" si="15"/>
        <v>0</v>
      </c>
      <c r="L117" s="2487">
        <f t="shared" si="15"/>
        <v>0</v>
      </c>
      <c r="M117" s="2488">
        <f t="shared" si="15"/>
        <v>0</v>
      </c>
    </row>
    <row r="118" spans="2:13" ht="11.25" customHeight="1" x14ac:dyDescent="0.25">
      <c r="B118" s="2402">
        <v>9</v>
      </c>
      <c r="C118" s="2401" t="s">
        <v>504</v>
      </c>
      <c r="D118" s="2424"/>
      <c r="E118" s="1660"/>
      <c r="F118" s="1656"/>
      <c r="G118" s="1657"/>
      <c r="H118" s="2486"/>
      <c r="I118" s="1656"/>
      <c r="J118" s="1659"/>
      <c r="K118" s="1660"/>
      <c r="L118" s="1656"/>
      <c r="M118" s="1657"/>
    </row>
    <row r="119" spans="2:13" ht="11.25" customHeight="1" x14ac:dyDescent="0.25">
      <c r="B119" s="2402">
        <v>10</v>
      </c>
      <c r="C119" s="2401" t="s">
        <v>505</v>
      </c>
      <c r="D119" s="2424"/>
      <c r="E119" s="1660"/>
      <c r="F119" s="1656"/>
      <c r="G119" s="1657"/>
      <c r="H119" s="2486"/>
      <c r="I119" s="1656"/>
      <c r="J119" s="1659"/>
      <c r="K119" s="1660"/>
      <c r="L119" s="1656"/>
      <c r="M119" s="1657"/>
    </row>
    <row r="120" spans="2:13" ht="11.25" customHeight="1" x14ac:dyDescent="0.25">
      <c r="B120" s="2391"/>
      <c r="C120" s="2401" t="s">
        <v>966</v>
      </c>
      <c r="D120" s="2424"/>
      <c r="E120" s="1660"/>
      <c r="F120" s="1656"/>
      <c r="G120" s="1657"/>
      <c r="H120" s="2486"/>
      <c r="I120" s="1656"/>
      <c r="J120" s="1659"/>
      <c r="K120" s="1660"/>
      <c r="L120" s="1656"/>
      <c r="M120" s="1657"/>
    </row>
    <row r="121" spans="2:13" ht="11.25" customHeight="1" x14ac:dyDescent="0.25">
      <c r="B121" s="2391"/>
      <c r="C121" s="2403" t="s">
        <v>1281</v>
      </c>
      <c r="D121" s="2424"/>
      <c r="E121" s="2496">
        <f>SUM(E118:E120)</f>
        <v>0</v>
      </c>
      <c r="F121" s="2492">
        <f t="shared" ref="F121:M121" si="16">SUM(F118:F120)</f>
        <v>0</v>
      </c>
      <c r="G121" s="2493">
        <f t="shared" si="16"/>
        <v>0</v>
      </c>
      <c r="H121" s="2494">
        <f t="shared" si="16"/>
        <v>0</v>
      </c>
      <c r="I121" s="2492">
        <f t="shared" si="16"/>
        <v>0</v>
      </c>
      <c r="J121" s="2495">
        <f t="shared" si="16"/>
        <v>0</v>
      </c>
      <c r="K121" s="2496">
        <f t="shared" si="16"/>
        <v>0</v>
      </c>
      <c r="L121" s="2492">
        <f t="shared" si="16"/>
        <v>0</v>
      </c>
      <c r="M121" s="2493">
        <f t="shared" si="16"/>
        <v>0</v>
      </c>
    </row>
    <row r="122" spans="2:13" ht="11.25" customHeight="1" x14ac:dyDescent="0.25">
      <c r="B122" s="2391"/>
      <c r="C122" s="2404" t="s">
        <v>1319</v>
      </c>
      <c r="D122" s="2424"/>
      <c r="E122" s="2501">
        <f>E117+E121</f>
        <v>3000</v>
      </c>
      <c r="F122" s="2497">
        <f t="shared" ref="F122:M122" si="17">F117+F121</f>
        <v>0</v>
      </c>
      <c r="G122" s="2498">
        <f t="shared" si="17"/>
        <v>0</v>
      </c>
      <c r="H122" s="2499">
        <f t="shared" si="17"/>
        <v>0</v>
      </c>
      <c r="I122" s="2497">
        <f t="shared" si="17"/>
        <v>0</v>
      </c>
      <c r="J122" s="2500">
        <f t="shared" si="17"/>
        <v>0</v>
      </c>
      <c r="K122" s="2501">
        <f t="shared" si="17"/>
        <v>0</v>
      </c>
      <c r="L122" s="2497">
        <f t="shared" si="17"/>
        <v>0</v>
      </c>
      <c r="M122" s="2498">
        <f t="shared" si="17"/>
        <v>0</v>
      </c>
    </row>
    <row r="123" spans="2:13" ht="11.25" customHeight="1" x14ac:dyDescent="0.25">
      <c r="B123" s="2391"/>
      <c r="C123" s="2400" t="s">
        <v>1320</v>
      </c>
      <c r="D123" s="2424"/>
      <c r="E123" s="2506"/>
      <c r="F123" s="2502"/>
      <c r="G123" s="2505"/>
      <c r="H123" s="2504"/>
      <c r="I123" s="2502"/>
      <c r="J123" s="2505"/>
      <c r="K123" s="2506"/>
      <c r="L123" s="2502"/>
      <c r="M123" s="2503"/>
    </row>
    <row r="124" spans="2:13" ht="11.25" customHeight="1" x14ac:dyDescent="0.25">
      <c r="B124" s="2391"/>
      <c r="C124" s="2401" t="s">
        <v>1321</v>
      </c>
      <c r="D124" s="2424"/>
      <c r="E124" s="1660"/>
      <c r="F124" s="1656"/>
      <c r="G124" s="1657"/>
      <c r="H124" s="2486"/>
      <c r="I124" s="1656"/>
      <c r="J124" s="1659"/>
      <c r="K124" s="1660"/>
      <c r="L124" s="1656"/>
      <c r="M124" s="1657"/>
    </row>
    <row r="125" spans="2:13" ht="11.25" customHeight="1" x14ac:dyDescent="0.25">
      <c r="B125" s="2391"/>
      <c r="C125" s="2401" t="s">
        <v>1322</v>
      </c>
      <c r="D125" s="2424"/>
      <c r="E125" s="1660"/>
      <c r="F125" s="1656"/>
      <c r="G125" s="1657"/>
      <c r="H125" s="2486"/>
      <c r="I125" s="1656"/>
      <c r="J125" s="1659"/>
      <c r="K125" s="1660"/>
      <c r="L125" s="1656"/>
      <c r="M125" s="1657"/>
    </row>
    <row r="126" spans="2:13" ht="11.25" customHeight="1" x14ac:dyDescent="0.25">
      <c r="B126" s="2391"/>
      <c r="C126" s="2401" t="s">
        <v>1393</v>
      </c>
      <c r="D126" s="2424"/>
      <c r="E126" s="1660"/>
      <c r="F126" s="1656"/>
      <c r="G126" s="1657"/>
      <c r="H126" s="2486"/>
      <c r="I126" s="1656"/>
      <c r="J126" s="1659"/>
      <c r="K126" s="1660"/>
      <c r="L126" s="1656"/>
      <c r="M126" s="1657"/>
    </row>
    <row r="127" spans="2:13" ht="11.25" customHeight="1" x14ac:dyDescent="0.25">
      <c r="B127" s="2391"/>
      <c r="C127" s="2401" t="s">
        <v>241</v>
      </c>
      <c r="D127" s="2424"/>
      <c r="E127" s="1660">
        <v>16000</v>
      </c>
      <c r="F127" s="1656"/>
      <c r="G127" s="1657"/>
      <c r="H127" s="2486"/>
      <c r="I127" s="1656"/>
      <c r="J127" s="1659"/>
      <c r="K127" s="1660"/>
      <c r="L127" s="1656"/>
      <c r="M127" s="1657"/>
    </row>
    <row r="128" spans="2:13" ht="11.25" customHeight="1" x14ac:dyDescent="0.25">
      <c r="B128" s="2391"/>
      <c r="C128" s="2401" t="s">
        <v>243</v>
      </c>
      <c r="D128" s="2424"/>
      <c r="E128" s="1660"/>
      <c r="F128" s="1656"/>
      <c r="G128" s="1657"/>
      <c r="H128" s="2486"/>
      <c r="I128" s="1656"/>
      <c r="J128" s="1659"/>
      <c r="K128" s="1660"/>
      <c r="L128" s="1656"/>
      <c r="M128" s="1657"/>
    </row>
    <row r="129" spans="2:13" ht="11.25" customHeight="1" x14ac:dyDescent="0.25">
      <c r="B129" s="2391"/>
      <c r="C129" s="2403" t="s">
        <v>375</v>
      </c>
      <c r="D129" s="2424"/>
      <c r="E129" s="2491">
        <f>SUM(E124:E128)</f>
        <v>16000</v>
      </c>
      <c r="F129" s="2487">
        <f t="shared" ref="F129:M129" si="18">SUM(F124:F128)</f>
        <v>0</v>
      </c>
      <c r="G129" s="2488">
        <f t="shared" si="18"/>
        <v>0</v>
      </c>
      <c r="H129" s="2489">
        <f t="shared" si="18"/>
        <v>0</v>
      </c>
      <c r="I129" s="2487">
        <f t="shared" si="18"/>
        <v>0</v>
      </c>
      <c r="J129" s="2490">
        <f t="shared" si="18"/>
        <v>0</v>
      </c>
      <c r="K129" s="2491">
        <f t="shared" si="18"/>
        <v>0</v>
      </c>
      <c r="L129" s="2487">
        <f t="shared" si="18"/>
        <v>0</v>
      </c>
      <c r="M129" s="2488">
        <f t="shared" si="18"/>
        <v>0</v>
      </c>
    </row>
    <row r="130" spans="2:13" ht="11.25" customHeight="1" x14ac:dyDescent="0.25">
      <c r="B130" s="2391"/>
      <c r="C130" s="2401" t="s">
        <v>242</v>
      </c>
      <c r="D130" s="2424"/>
      <c r="E130" s="1660"/>
      <c r="F130" s="1656"/>
      <c r="G130" s="1657"/>
      <c r="H130" s="2486"/>
      <c r="I130" s="1656"/>
      <c r="J130" s="1659"/>
      <c r="K130" s="1660"/>
      <c r="L130" s="1656"/>
      <c r="M130" s="1657"/>
    </row>
    <row r="131" spans="2:13" ht="11.25" customHeight="1" x14ac:dyDescent="0.25">
      <c r="B131" s="2391"/>
      <c r="C131" s="2401" t="s">
        <v>1226</v>
      </c>
      <c r="D131" s="2424"/>
      <c r="E131" s="1660"/>
      <c r="F131" s="1656"/>
      <c r="G131" s="1657"/>
      <c r="H131" s="2486"/>
      <c r="I131" s="1656"/>
      <c r="J131" s="1659"/>
      <c r="K131" s="1660"/>
      <c r="L131" s="1656"/>
      <c r="M131" s="1657"/>
    </row>
    <row r="132" spans="2:13" ht="11.25" customHeight="1" x14ac:dyDescent="0.25">
      <c r="B132" s="2391"/>
      <c r="C132" s="2401" t="s">
        <v>1395</v>
      </c>
      <c r="D132" s="2424"/>
      <c r="E132" s="1660"/>
      <c r="F132" s="1656"/>
      <c r="G132" s="1657"/>
      <c r="H132" s="2486"/>
      <c r="I132" s="1656"/>
      <c r="J132" s="1659"/>
      <c r="K132" s="1660"/>
      <c r="L132" s="1656"/>
      <c r="M132" s="1657"/>
    </row>
    <row r="133" spans="2:13" ht="11.25" customHeight="1" x14ac:dyDescent="0.25">
      <c r="B133" s="2391"/>
      <c r="C133" s="2403" t="s">
        <v>1281</v>
      </c>
      <c r="D133" s="2424"/>
      <c r="E133" s="2496">
        <f>SUM(E130:E132)</f>
        <v>0</v>
      </c>
      <c r="F133" s="2492">
        <f t="shared" ref="F133:M133" si="19">SUM(F130:F132)</f>
        <v>0</v>
      </c>
      <c r="G133" s="2493">
        <f t="shared" si="19"/>
        <v>0</v>
      </c>
      <c r="H133" s="2494">
        <f t="shared" si="19"/>
        <v>0</v>
      </c>
      <c r="I133" s="2492">
        <f t="shared" si="19"/>
        <v>0</v>
      </c>
      <c r="J133" s="2495">
        <f t="shared" si="19"/>
        <v>0</v>
      </c>
      <c r="K133" s="2496">
        <f t="shared" si="19"/>
        <v>0</v>
      </c>
      <c r="L133" s="2492">
        <f t="shared" si="19"/>
        <v>0</v>
      </c>
      <c r="M133" s="2493">
        <f t="shared" si="19"/>
        <v>0</v>
      </c>
    </row>
    <row r="134" spans="2:13" ht="11.25" customHeight="1" x14ac:dyDescent="0.25">
      <c r="B134" s="2391"/>
      <c r="C134" s="2404" t="s">
        <v>1319</v>
      </c>
      <c r="D134" s="2424"/>
      <c r="E134" s="2501">
        <f>E129+E133</f>
        <v>16000</v>
      </c>
      <c r="F134" s="2497">
        <f t="shared" ref="F134:M134" si="20">F129+F133</f>
        <v>0</v>
      </c>
      <c r="G134" s="2498">
        <f t="shared" si="20"/>
        <v>0</v>
      </c>
      <c r="H134" s="2499">
        <f t="shared" si="20"/>
        <v>0</v>
      </c>
      <c r="I134" s="2497">
        <f t="shared" si="20"/>
        <v>0</v>
      </c>
      <c r="J134" s="2500">
        <f t="shared" si="20"/>
        <v>0</v>
      </c>
      <c r="K134" s="2501">
        <f t="shared" si="20"/>
        <v>0</v>
      </c>
      <c r="L134" s="2497">
        <f t="shared" si="20"/>
        <v>0</v>
      </c>
      <c r="M134" s="2498">
        <f t="shared" si="20"/>
        <v>0</v>
      </c>
    </row>
    <row r="135" spans="2:13" ht="11.25" customHeight="1" x14ac:dyDescent="0.25">
      <c r="B135" s="2391"/>
      <c r="C135" s="2400" t="s">
        <v>684</v>
      </c>
      <c r="D135" s="2424"/>
      <c r="E135" s="2506"/>
      <c r="F135" s="2502"/>
      <c r="G135" s="2505"/>
      <c r="H135" s="2504"/>
      <c r="I135" s="2502"/>
      <c r="J135" s="2505"/>
      <c r="K135" s="2506"/>
      <c r="L135" s="2502"/>
      <c r="M135" s="2503"/>
    </row>
    <row r="136" spans="2:13" ht="11.25" customHeight="1" x14ac:dyDescent="0.25">
      <c r="B136" s="2391"/>
      <c r="C136" s="2401" t="s">
        <v>1227</v>
      </c>
      <c r="D136" s="2424"/>
      <c r="E136" s="1660"/>
      <c r="F136" s="1656"/>
      <c r="G136" s="1657"/>
      <c r="H136" s="2486"/>
      <c r="I136" s="1656"/>
      <c r="J136" s="1659"/>
      <c r="K136" s="1660"/>
      <c r="L136" s="1656"/>
      <c r="M136" s="1657"/>
    </row>
    <row r="137" spans="2:13" ht="11.25" customHeight="1" x14ac:dyDescent="0.25">
      <c r="B137" s="2391"/>
      <c r="C137" s="2401" t="s">
        <v>506</v>
      </c>
      <c r="D137" s="2424"/>
      <c r="E137" s="1660"/>
      <c r="F137" s="1656"/>
      <c r="G137" s="1657"/>
      <c r="H137" s="2486"/>
      <c r="I137" s="1656"/>
      <c r="J137" s="1659"/>
      <c r="K137" s="1660"/>
      <c r="L137" s="1656"/>
      <c r="M137" s="1657"/>
    </row>
    <row r="138" spans="2:13" ht="11.25" customHeight="1" x14ac:dyDescent="0.25">
      <c r="B138" s="2391"/>
      <c r="C138" s="2403" t="s">
        <v>375</v>
      </c>
      <c r="D138" s="2424"/>
      <c r="E138" s="2491">
        <f>SUM(E136:E137)</f>
        <v>0</v>
      </c>
      <c r="F138" s="2487">
        <f t="shared" ref="F138:M138" si="21">SUM(F136:F137)</f>
        <v>0</v>
      </c>
      <c r="G138" s="2488">
        <f t="shared" si="21"/>
        <v>0</v>
      </c>
      <c r="H138" s="2489">
        <f t="shared" si="21"/>
        <v>0</v>
      </c>
      <c r="I138" s="2487">
        <f t="shared" si="21"/>
        <v>0</v>
      </c>
      <c r="J138" s="2490">
        <f t="shared" si="21"/>
        <v>0</v>
      </c>
      <c r="K138" s="2491">
        <f t="shared" si="21"/>
        <v>0</v>
      </c>
      <c r="L138" s="2487">
        <f t="shared" si="21"/>
        <v>0</v>
      </c>
      <c r="M138" s="2488">
        <f t="shared" si="21"/>
        <v>0</v>
      </c>
    </row>
    <row r="139" spans="2:13" ht="11.25" customHeight="1" x14ac:dyDescent="0.25">
      <c r="B139" s="2391"/>
      <c r="C139" s="2401" t="s">
        <v>507</v>
      </c>
      <c r="D139" s="2424"/>
      <c r="E139" s="1660"/>
      <c r="F139" s="1656"/>
      <c r="G139" s="1657"/>
      <c r="H139" s="2486"/>
      <c r="I139" s="1656"/>
      <c r="J139" s="1659"/>
      <c r="K139" s="1660"/>
      <c r="L139" s="1656"/>
      <c r="M139" s="1657"/>
    </row>
    <row r="140" spans="2:13" ht="11.25" customHeight="1" x14ac:dyDescent="0.25">
      <c r="B140" s="2391"/>
      <c r="C140" s="2401" t="s">
        <v>508</v>
      </c>
      <c r="D140" s="2424"/>
      <c r="E140" s="1660"/>
      <c r="F140" s="1656"/>
      <c r="G140" s="1657"/>
      <c r="H140" s="2486"/>
      <c r="I140" s="1656"/>
      <c r="J140" s="1659"/>
      <c r="K140" s="1660"/>
      <c r="L140" s="1656"/>
      <c r="M140" s="1657"/>
    </row>
    <row r="141" spans="2:13" ht="11.25" customHeight="1" x14ac:dyDescent="0.25">
      <c r="B141" s="2391"/>
      <c r="C141" s="2401" t="s">
        <v>685</v>
      </c>
      <c r="D141" s="2424"/>
      <c r="E141" s="1660"/>
      <c r="F141" s="1656"/>
      <c r="G141" s="1657"/>
      <c r="H141" s="2486"/>
      <c r="I141" s="1656"/>
      <c r="J141" s="1659"/>
      <c r="K141" s="1660"/>
      <c r="L141" s="1656"/>
      <c r="M141" s="1657"/>
    </row>
    <row r="142" spans="2:13" ht="11.25" customHeight="1" x14ac:dyDescent="0.25">
      <c r="B142" s="2391"/>
      <c r="C142" s="2403" t="s">
        <v>1281</v>
      </c>
      <c r="D142" s="2424"/>
      <c r="E142" s="2496">
        <f>SUM(E139:E141)</f>
        <v>0</v>
      </c>
      <c r="F142" s="2492">
        <f t="shared" ref="F142:M142" si="22">SUM(F139:F141)</f>
        <v>0</v>
      </c>
      <c r="G142" s="2493">
        <f t="shared" si="22"/>
        <v>0</v>
      </c>
      <c r="H142" s="2494">
        <f t="shared" si="22"/>
        <v>0</v>
      </c>
      <c r="I142" s="2492">
        <f t="shared" si="22"/>
        <v>0</v>
      </c>
      <c r="J142" s="2495">
        <f t="shared" si="22"/>
        <v>0</v>
      </c>
      <c r="K142" s="2496">
        <f t="shared" si="22"/>
        <v>0</v>
      </c>
      <c r="L142" s="2492">
        <f t="shared" si="22"/>
        <v>0</v>
      </c>
      <c r="M142" s="2493">
        <f t="shared" si="22"/>
        <v>0</v>
      </c>
    </row>
    <row r="143" spans="2:13" ht="11.25" customHeight="1" x14ac:dyDescent="0.25">
      <c r="B143" s="2391"/>
      <c r="C143" s="2404" t="s">
        <v>1319</v>
      </c>
      <c r="D143" s="2424"/>
      <c r="E143" s="2501">
        <f>E138+E142</f>
        <v>0</v>
      </c>
      <c r="F143" s="2497">
        <f t="shared" ref="F143:M143" si="23">F138+F142</f>
        <v>0</v>
      </c>
      <c r="G143" s="2498">
        <f t="shared" si="23"/>
        <v>0</v>
      </c>
      <c r="H143" s="2499">
        <f t="shared" si="23"/>
        <v>0</v>
      </c>
      <c r="I143" s="2497">
        <f t="shared" si="23"/>
        <v>0</v>
      </c>
      <c r="J143" s="2500">
        <f t="shared" si="23"/>
        <v>0</v>
      </c>
      <c r="K143" s="2501">
        <f t="shared" si="23"/>
        <v>0</v>
      </c>
      <c r="L143" s="2497">
        <f t="shared" si="23"/>
        <v>0</v>
      </c>
      <c r="M143" s="2498">
        <f t="shared" si="23"/>
        <v>0</v>
      </c>
    </row>
    <row r="144" spans="2:13" ht="11.25" customHeight="1" x14ac:dyDescent="0.25">
      <c r="B144" s="2391"/>
      <c r="C144" s="2400" t="s">
        <v>688</v>
      </c>
      <c r="D144" s="2424"/>
      <c r="E144" s="2506"/>
      <c r="F144" s="2502"/>
      <c r="G144" s="2505"/>
      <c r="H144" s="2504"/>
      <c r="I144" s="2502"/>
      <c r="J144" s="2505"/>
      <c r="K144" s="2506"/>
      <c r="L144" s="2502"/>
      <c r="M144" s="2503"/>
    </row>
    <row r="145" spans="1:13" ht="11.25" customHeight="1" x14ac:dyDescent="0.25">
      <c r="B145" s="2391"/>
      <c r="C145" s="2401" t="s">
        <v>740</v>
      </c>
      <c r="D145" s="2424"/>
      <c r="E145" s="1670"/>
      <c r="F145" s="1665"/>
      <c r="G145" s="1666"/>
      <c r="H145" s="2507"/>
      <c r="I145" s="1665"/>
      <c r="J145" s="2508"/>
      <c r="K145" s="1670"/>
      <c r="L145" s="1665"/>
      <c r="M145" s="1666"/>
    </row>
    <row r="146" spans="1:13" ht="11.25" customHeight="1" x14ac:dyDescent="0.25">
      <c r="B146" s="2391"/>
      <c r="C146" s="2403" t="s">
        <v>375</v>
      </c>
      <c r="D146" s="2424"/>
      <c r="E146" s="2506">
        <f>SUM(E145)</f>
        <v>0</v>
      </c>
      <c r="F146" s="2502">
        <f t="shared" ref="F146:M146" si="24">SUM(F145)</f>
        <v>0</v>
      </c>
      <c r="G146" s="2503">
        <f t="shared" si="24"/>
        <v>0</v>
      </c>
      <c r="H146" s="2504">
        <f t="shared" si="24"/>
        <v>0</v>
      </c>
      <c r="I146" s="2502">
        <f t="shared" si="24"/>
        <v>0</v>
      </c>
      <c r="J146" s="2505">
        <f t="shared" si="24"/>
        <v>0</v>
      </c>
      <c r="K146" s="2506">
        <f t="shared" si="24"/>
        <v>0</v>
      </c>
      <c r="L146" s="2502">
        <f t="shared" si="24"/>
        <v>0</v>
      </c>
      <c r="M146" s="2503">
        <f t="shared" si="24"/>
        <v>0</v>
      </c>
    </row>
    <row r="147" spans="1:13" ht="11.25" customHeight="1" x14ac:dyDescent="0.25">
      <c r="B147" s="2391"/>
      <c r="C147" s="2401" t="s">
        <v>689</v>
      </c>
      <c r="D147" s="2424"/>
      <c r="E147" s="1660"/>
      <c r="F147" s="1656"/>
      <c r="G147" s="1657"/>
      <c r="H147" s="2486"/>
      <c r="I147" s="1656"/>
      <c r="J147" s="1659"/>
      <c r="K147" s="1660"/>
      <c r="L147" s="1656"/>
      <c r="M147" s="1657"/>
    </row>
    <row r="148" spans="1:13" ht="11.25" customHeight="1" x14ac:dyDescent="0.25">
      <c r="B148" s="2391"/>
      <c r="C148" s="2401" t="s">
        <v>690</v>
      </c>
      <c r="D148" s="2424"/>
      <c r="E148" s="1660"/>
      <c r="F148" s="1656"/>
      <c r="G148" s="1657"/>
      <c r="H148" s="2486"/>
      <c r="I148" s="1656"/>
      <c r="J148" s="1659"/>
      <c r="K148" s="1660"/>
      <c r="L148" s="1656"/>
      <c r="M148" s="1657"/>
    </row>
    <row r="149" spans="1:13" ht="11.25" customHeight="1" x14ac:dyDescent="0.25">
      <c r="B149" s="2391"/>
      <c r="C149" s="2401" t="s">
        <v>878</v>
      </c>
      <c r="D149" s="2424"/>
      <c r="E149" s="1660"/>
      <c r="F149" s="1656"/>
      <c r="G149" s="1657"/>
      <c r="H149" s="2486"/>
      <c r="I149" s="1656"/>
      <c r="J149" s="1659"/>
      <c r="K149" s="1660"/>
      <c r="L149" s="1656"/>
      <c r="M149" s="1657"/>
    </row>
    <row r="150" spans="1:13" ht="11.25" customHeight="1" x14ac:dyDescent="0.25">
      <c r="B150" s="2391"/>
      <c r="C150" s="2401" t="s">
        <v>879</v>
      </c>
      <c r="D150" s="2424"/>
      <c r="E150" s="1660"/>
      <c r="F150" s="1656">
        <v>43000</v>
      </c>
      <c r="G150" s="1657"/>
      <c r="H150" s="2486"/>
      <c r="I150" s="1656"/>
      <c r="J150" s="1659"/>
      <c r="K150" s="1660"/>
      <c r="L150" s="1656"/>
      <c r="M150" s="1657"/>
    </row>
    <row r="151" spans="1:13" ht="11.25" customHeight="1" x14ac:dyDescent="0.25">
      <c r="B151" s="2391"/>
      <c r="C151" s="2401" t="s">
        <v>198</v>
      </c>
      <c r="D151" s="2424"/>
      <c r="E151" s="1660"/>
      <c r="F151" s="1656">
        <v>0</v>
      </c>
      <c r="G151" s="1657"/>
      <c r="H151" s="2486"/>
      <c r="I151" s="1656"/>
      <c r="J151" s="1659"/>
      <c r="K151" s="1660"/>
      <c r="L151" s="1656"/>
      <c r="M151" s="1657"/>
    </row>
    <row r="152" spans="1:13" ht="11.25" customHeight="1" x14ac:dyDescent="0.25">
      <c r="B152" s="2391"/>
      <c r="C152" s="2403" t="s">
        <v>1281</v>
      </c>
      <c r="D152" s="2424"/>
      <c r="E152" s="2496">
        <f t="shared" ref="E152:M152" si="25">SUM(E147:E151)</f>
        <v>0</v>
      </c>
      <c r="F152" s="2492">
        <f t="shared" si="25"/>
        <v>43000</v>
      </c>
      <c r="G152" s="2493">
        <f t="shared" si="25"/>
        <v>0</v>
      </c>
      <c r="H152" s="2494">
        <f t="shared" si="25"/>
        <v>0</v>
      </c>
      <c r="I152" s="2492">
        <f t="shared" si="25"/>
        <v>0</v>
      </c>
      <c r="J152" s="2495">
        <f t="shared" si="25"/>
        <v>0</v>
      </c>
      <c r="K152" s="2496">
        <f t="shared" si="25"/>
        <v>0</v>
      </c>
      <c r="L152" s="2492">
        <f t="shared" si="25"/>
        <v>0</v>
      </c>
      <c r="M152" s="2493">
        <f t="shared" si="25"/>
        <v>0</v>
      </c>
    </row>
    <row r="153" spans="1:13" ht="11.25" customHeight="1" x14ac:dyDescent="0.25">
      <c r="B153" s="2391"/>
      <c r="C153" s="2404" t="s">
        <v>1319</v>
      </c>
      <c r="D153" s="2424"/>
      <c r="E153" s="2501">
        <f>E146+E152</f>
        <v>0</v>
      </c>
      <c r="F153" s="2497">
        <f t="shared" ref="F153:M153" si="26">F146+F152</f>
        <v>43000</v>
      </c>
      <c r="G153" s="2498">
        <f t="shared" si="26"/>
        <v>0</v>
      </c>
      <c r="H153" s="2499">
        <f t="shared" si="26"/>
        <v>0</v>
      </c>
      <c r="I153" s="2497">
        <f t="shared" si="26"/>
        <v>0</v>
      </c>
      <c r="J153" s="2500">
        <f t="shared" si="26"/>
        <v>0</v>
      </c>
      <c r="K153" s="2501">
        <f t="shared" si="26"/>
        <v>0</v>
      </c>
      <c r="L153" s="2497">
        <f t="shared" si="26"/>
        <v>0</v>
      </c>
      <c r="M153" s="2498">
        <f t="shared" si="26"/>
        <v>0</v>
      </c>
    </row>
    <row r="154" spans="1:13" ht="5.0999999999999996" customHeight="1" x14ac:dyDescent="0.25">
      <c r="B154" s="2391"/>
      <c r="C154" s="2405"/>
      <c r="D154" s="2425"/>
      <c r="E154" s="1142"/>
      <c r="F154" s="1138"/>
      <c r="G154" s="1139"/>
      <c r="H154" s="1140"/>
      <c r="I154" s="1138"/>
      <c r="J154" s="1141"/>
      <c r="K154" s="1142"/>
      <c r="L154" s="1138"/>
      <c r="M154" s="1139"/>
    </row>
    <row r="155" spans="1:13" ht="24.95" customHeight="1" x14ac:dyDescent="0.25">
      <c r="A155" s="2817" t="s">
        <v>2073</v>
      </c>
      <c r="B155" s="2382"/>
      <c r="C155" s="2383"/>
      <c r="D155" s="2384"/>
      <c r="E155" s="2385" t="str">
        <f>head1b</f>
        <v>2011/12</v>
      </c>
      <c r="F155" s="1119" t="str">
        <f>head1A</f>
        <v>2012/13</v>
      </c>
      <c r="G155" s="1120" t="str">
        <f>Head1</f>
        <v>2013/14</v>
      </c>
      <c r="H155" s="2774" t="str">
        <f>Head2</f>
        <v>Current Year 2014/15</v>
      </c>
      <c r="I155" s="2775"/>
      <c r="J155" s="2776"/>
      <c r="K155" s="2774" t="str">
        <f>Head3</f>
        <v>2015/16 Medium Term Revenue &amp; Expenditure Framework</v>
      </c>
      <c r="L155" s="2775"/>
      <c r="M155" s="2776"/>
    </row>
    <row r="156" spans="1:13" ht="24.95" customHeight="1" x14ac:dyDescent="0.25">
      <c r="A156" s="2817"/>
      <c r="B156" s="2386" t="s">
        <v>1982</v>
      </c>
      <c r="C156" s="1580"/>
      <c r="D156" s="1581"/>
      <c r="E156" s="2387" t="str">
        <f>Head5A</f>
        <v>Outcome</v>
      </c>
      <c r="F156" s="2388" t="str">
        <f>Head5A</f>
        <v>Outcome</v>
      </c>
      <c r="G156" s="2389" t="str">
        <f>Head5A</f>
        <v>Outcome</v>
      </c>
      <c r="H156" s="2390" t="str">
        <f>Head6</f>
        <v>Original Budget</v>
      </c>
      <c r="I156" s="2388" t="str">
        <f>Head7</f>
        <v>Adjusted Budget</v>
      </c>
      <c r="J156" s="2389" t="str">
        <f>Head8</f>
        <v>Full Year Forecast</v>
      </c>
      <c r="K156" s="2390" t="str">
        <f>Head9</f>
        <v>Budget Year 2015/16</v>
      </c>
      <c r="L156" s="2388" t="str">
        <f>Head10</f>
        <v>Budget Year +1 2016/17</v>
      </c>
      <c r="M156" s="2389" t="str">
        <f>Head11</f>
        <v>Budget Year +2 2017/18</v>
      </c>
    </row>
    <row r="157" spans="1:13" ht="11.25" customHeight="1" x14ac:dyDescent="0.25">
      <c r="B157" s="2391"/>
      <c r="C157" s="2392" t="s">
        <v>200</v>
      </c>
      <c r="D157" s="2424"/>
      <c r="E157" s="555"/>
      <c r="F157" s="2393"/>
      <c r="G157" s="2394"/>
      <c r="H157" s="2395"/>
      <c r="I157" s="2396"/>
      <c r="J157" s="2397"/>
      <c r="K157" s="2398"/>
      <c r="L157" s="2396"/>
      <c r="M157" s="2399"/>
    </row>
    <row r="158" spans="1:13" ht="11.25" customHeight="1" x14ac:dyDescent="0.25">
      <c r="A158" s="2427" t="s">
        <v>2074</v>
      </c>
      <c r="B158" s="2391"/>
      <c r="C158" s="2400" t="s">
        <v>1848</v>
      </c>
      <c r="D158" s="2424"/>
      <c r="E158" s="1130"/>
      <c r="F158" s="1126"/>
      <c r="G158" s="1129"/>
      <c r="H158" s="1061"/>
      <c r="I158" s="1059"/>
      <c r="J158" s="1062"/>
      <c r="K158" s="1063"/>
      <c r="L158" s="1059"/>
      <c r="M158" s="1060"/>
    </row>
    <row r="159" spans="1:13" ht="11.25" customHeight="1" x14ac:dyDescent="0.25">
      <c r="B159" s="2391"/>
      <c r="C159" s="2401" t="s">
        <v>1636</v>
      </c>
      <c r="D159" s="2424"/>
      <c r="E159" s="1660"/>
      <c r="F159" s="1656"/>
      <c r="G159" s="1657"/>
      <c r="H159" s="2486"/>
      <c r="I159" s="1656"/>
      <c r="J159" s="1659"/>
      <c r="K159" s="1660"/>
      <c r="L159" s="1656"/>
      <c r="M159" s="1657"/>
    </row>
    <row r="160" spans="1:13" ht="11.25" customHeight="1" x14ac:dyDescent="0.25">
      <c r="B160" s="2391"/>
      <c r="C160" s="2401" t="s">
        <v>1847</v>
      </c>
      <c r="D160" s="2424"/>
      <c r="E160" s="1660"/>
      <c r="F160" s="1656"/>
      <c r="G160" s="1657"/>
      <c r="H160" s="2486"/>
      <c r="I160" s="1656"/>
      <c r="J160" s="1659"/>
      <c r="K160" s="1660"/>
      <c r="L160" s="1656"/>
      <c r="M160" s="1657"/>
    </row>
    <row r="161" spans="1:13" ht="11.25" customHeight="1" x14ac:dyDescent="0.25">
      <c r="B161" s="2402">
        <v>8</v>
      </c>
      <c r="C161" s="2401" t="s">
        <v>131</v>
      </c>
      <c r="D161" s="2424"/>
      <c r="E161" s="1660"/>
      <c r="F161" s="1656"/>
      <c r="G161" s="1657"/>
      <c r="H161" s="2486"/>
      <c r="I161" s="1656"/>
      <c r="J161" s="1659"/>
      <c r="K161" s="1660"/>
      <c r="L161" s="1656"/>
      <c r="M161" s="1657"/>
    </row>
    <row r="162" spans="1:13" ht="11.25" customHeight="1" x14ac:dyDescent="0.25">
      <c r="B162" s="2402">
        <v>10</v>
      </c>
      <c r="C162" s="2401" t="s">
        <v>132</v>
      </c>
      <c r="D162" s="2424"/>
      <c r="E162" s="1660"/>
      <c r="F162" s="1656"/>
      <c r="G162" s="1657"/>
      <c r="H162" s="2486"/>
      <c r="I162" s="1656"/>
      <c r="J162" s="1659"/>
      <c r="K162" s="1660"/>
      <c r="L162" s="1656"/>
      <c r="M162" s="1657"/>
    </row>
    <row r="163" spans="1:13" ht="11.25" customHeight="1" x14ac:dyDescent="0.25">
      <c r="B163" s="2402"/>
      <c r="C163" s="2403" t="s">
        <v>375</v>
      </c>
      <c r="D163" s="2424"/>
      <c r="E163" s="2491">
        <f>SUM(E159:E162)</f>
        <v>0</v>
      </c>
      <c r="F163" s="2487">
        <f t="shared" ref="F163:M163" si="27">SUM(F159:F162)</f>
        <v>0</v>
      </c>
      <c r="G163" s="2488">
        <f t="shared" si="27"/>
        <v>0</v>
      </c>
      <c r="H163" s="2489">
        <f t="shared" si="27"/>
        <v>0</v>
      </c>
      <c r="I163" s="2487">
        <f t="shared" si="27"/>
        <v>0</v>
      </c>
      <c r="J163" s="2490">
        <f t="shared" si="27"/>
        <v>0</v>
      </c>
      <c r="K163" s="2491">
        <f t="shared" si="27"/>
        <v>0</v>
      </c>
      <c r="L163" s="2487">
        <f t="shared" si="27"/>
        <v>0</v>
      </c>
      <c r="M163" s="2488">
        <f t="shared" si="27"/>
        <v>0</v>
      </c>
    </row>
    <row r="164" spans="1:13" ht="11.25" customHeight="1" x14ac:dyDescent="0.25">
      <c r="B164" s="2402">
        <v>9</v>
      </c>
      <c r="C164" s="2401" t="s">
        <v>504</v>
      </c>
      <c r="D164" s="2424"/>
      <c r="E164" s="1660"/>
      <c r="F164" s="1656"/>
      <c r="G164" s="1657"/>
      <c r="H164" s="2486"/>
      <c r="I164" s="1656"/>
      <c r="J164" s="1659"/>
      <c r="K164" s="1660"/>
      <c r="L164" s="1656"/>
      <c r="M164" s="1657"/>
    </row>
    <row r="165" spans="1:13" ht="11.25" customHeight="1" x14ac:dyDescent="0.25">
      <c r="B165" s="2402">
        <v>10</v>
      </c>
      <c r="C165" s="2401" t="s">
        <v>505</v>
      </c>
      <c r="D165" s="2424"/>
      <c r="E165" s="1660"/>
      <c r="F165" s="1656"/>
      <c r="G165" s="1657"/>
      <c r="H165" s="2486"/>
      <c r="I165" s="1656"/>
      <c r="J165" s="1659"/>
      <c r="K165" s="1660"/>
      <c r="L165" s="1656"/>
      <c r="M165" s="1657"/>
    </row>
    <row r="166" spans="1:13" ht="11.25" customHeight="1" x14ac:dyDescent="0.25">
      <c r="B166" s="2391"/>
      <c r="C166" s="2401" t="s">
        <v>966</v>
      </c>
      <c r="D166" s="2424"/>
      <c r="E166" s="1660"/>
      <c r="F166" s="1656"/>
      <c r="G166" s="1657"/>
      <c r="H166" s="2486"/>
      <c r="I166" s="1656"/>
      <c r="J166" s="1659"/>
      <c r="K166" s="1660"/>
      <c r="L166" s="1656"/>
      <c r="M166" s="1657"/>
    </row>
    <row r="167" spans="1:13" ht="11.25" customHeight="1" x14ac:dyDescent="0.25">
      <c r="B167" s="2391"/>
      <c r="C167" s="2403" t="s">
        <v>1281</v>
      </c>
      <c r="D167" s="2424"/>
      <c r="E167" s="2496">
        <f>SUM(E164:E166)</f>
        <v>0</v>
      </c>
      <c r="F167" s="2492">
        <f t="shared" ref="F167:M167" si="28">SUM(F164:F166)</f>
        <v>0</v>
      </c>
      <c r="G167" s="2493">
        <f t="shared" si="28"/>
        <v>0</v>
      </c>
      <c r="H167" s="2494">
        <f t="shared" si="28"/>
        <v>0</v>
      </c>
      <c r="I167" s="2492">
        <f t="shared" si="28"/>
        <v>0</v>
      </c>
      <c r="J167" s="2495">
        <f t="shared" si="28"/>
        <v>0</v>
      </c>
      <c r="K167" s="2496">
        <f t="shared" si="28"/>
        <v>0</v>
      </c>
      <c r="L167" s="2492">
        <f t="shared" si="28"/>
        <v>0</v>
      </c>
      <c r="M167" s="2493">
        <f t="shared" si="28"/>
        <v>0</v>
      </c>
    </row>
    <row r="168" spans="1:13" ht="11.25" customHeight="1" x14ac:dyDescent="0.25">
      <c r="B168" s="2391"/>
      <c r="C168" s="2404" t="s">
        <v>1319</v>
      </c>
      <c r="D168" s="2424"/>
      <c r="E168" s="2501">
        <f>E163+E167</f>
        <v>0</v>
      </c>
      <c r="F168" s="2497">
        <f t="shared" ref="F168:M168" si="29">F163+F167</f>
        <v>0</v>
      </c>
      <c r="G168" s="2498">
        <f t="shared" si="29"/>
        <v>0</v>
      </c>
      <c r="H168" s="2499">
        <f t="shared" si="29"/>
        <v>0</v>
      </c>
      <c r="I168" s="2497">
        <f t="shared" si="29"/>
        <v>0</v>
      </c>
      <c r="J168" s="2500">
        <f t="shared" si="29"/>
        <v>0</v>
      </c>
      <c r="K168" s="2501">
        <f t="shared" si="29"/>
        <v>0</v>
      </c>
      <c r="L168" s="2497">
        <f t="shared" si="29"/>
        <v>0</v>
      </c>
      <c r="M168" s="2498">
        <f t="shared" si="29"/>
        <v>0</v>
      </c>
    </row>
    <row r="169" spans="1:13" ht="11.25" customHeight="1" x14ac:dyDescent="0.25">
      <c r="A169" s="2427" t="s">
        <v>2074</v>
      </c>
      <c r="B169" s="2391"/>
      <c r="C169" s="2400" t="s">
        <v>1320</v>
      </c>
      <c r="D169" s="2424"/>
      <c r="E169" s="2506"/>
      <c r="F169" s="2502"/>
      <c r="G169" s="2505"/>
      <c r="H169" s="2504"/>
      <c r="I169" s="2502"/>
      <c r="J169" s="2505"/>
      <c r="K169" s="2506"/>
      <c r="L169" s="2502"/>
      <c r="M169" s="2503"/>
    </row>
    <row r="170" spans="1:13" ht="11.25" customHeight="1" x14ac:dyDescent="0.25">
      <c r="B170" s="2391"/>
      <c r="C170" s="2401" t="s">
        <v>1321</v>
      </c>
      <c r="D170" s="2424"/>
      <c r="E170" s="1660"/>
      <c r="F170" s="1656"/>
      <c r="G170" s="1657"/>
      <c r="H170" s="2486"/>
      <c r="I170" s="1656"/>
      <c r="J170" s="1659"/>
      <c r="K170" s="1660"/>
      <c r="L170" s="1656"/>
      <c r="M170" s="1657"/>
    </row>
    <row r="171" spans="1:13" ht="11.25" customHeight="1" x14ac:dyDescent="0.25">
      <c r="B171" s="2391"/>
      <c r="C171" s="2401" t="s">
        <v>1322</v>
      </c>
      <c r="D171" s="2424"/>
      <c r="E171" s="1660"/>
      <c r="F171" s="1656"/>
      <c r="G171" s="1657"/>
      <c r="H171" s="2486"/>
      <c r="I171" s="1656"/>
      <c r="J171" s="1659"/>
      <c r="K171" s="1660"/>
      <c r="L171" s="1656"/>
      <c r="M171" s="1657"/>
    </row>
    <row r="172" spans="1:13" ht="11.25" customHeight="1" x14ac:dyDescent="0.25">
      <c r="B172" s="2391"/>
      <c r="C172" s="2401" t="s">
        <v>1393</v>
      </c>
      <c r="D172" s="2424"/>
      <c r="E172" s="1660"/>
      <c r="F172" s="1656"/>
      <c r="G172" s="1657"/>
      <c r="H172" s="2486"/>
      <c r="I172" s="1656"/>
      <c r="J172" s="1659"/>
      <c r="K172" s="1660"/>
      <c r="L172" s="1656"/>
      <c r="M172" s="1657"/>
    </row>
    <row r="173" spans="1:13" ht="11.25" customHeight="1" x14ac:dyDescent="0.25">
      <c r="B173" s="2391"/>
      <c r="C173" s="2401" t="s">
        <v>241</v>
      </c>
      <c r="D173" s="2424"/>
      <c r="E173" s="1660"/>
      <c r="F173" s="1656"/>
      <c r="G173" s="1657"/>
      <c r="H173" s="2486"/>
      <c r="I173" s="1656"/>
      <c r="J173" s="1659"/>
      <c r="K173" s="1660"/>
      <c r="L173" s="1656"/>
      <c r="M173" s="1657"/>
    </row>
    <row r="174" spans="1:13" ht="11.25" customHeight="1" x14ac:dyDescent="0.25">
      <c r="B174" s="2391"/>
      <c r="C174" s="2401" t="s">
        <v>243</v>
      </c>
      <c r="D174" s="2424"/>
      <c r="E174" s="1660"/>
      <c r="F174" s="1656"/>
      <c r="G174" s="1657"/>
      <c r="H174" s="2486"/>
      <c r="I174" s="1656"/>
      <c r="J174" s="1659"/>
      <c r="K174" s="1660"/>
      <c r="L174" s="1656"/>
      <c r="M174" s="1657"/>
    </row>
    <row r="175" spans="1:13" ht="11.25" customHeight="1" x14ac:dyDescent="0.25">
      <c r="B175" s="2391"/>
      <c r="C175" s="2403" t="s">
        <v>375</v>
      </c>
      <c r="D175" s="2424"/>
      <c r="E175" s="2491">
        <f>SUM(E170:E174)</f>
        <v>0</v>
      </c>
      <c r="F175" s="2487">
        <f t="shared" ref="F175:M175" si="30">SUM(F170:F174)</f>
        <v>0</v>
      </c>
      <c r="G175" s="2488">
        <f t="shared" si="30"/>
        <v>0</v>
      </c>
      <c r="H175" s="2489">
        <f t="shared" si="30"/>
        <v>0</v>
      </c>
      <c r="I175" s="2487">
        <f t="shared" si="30"/>
        <v>0</v>
      </c>
      <c r="J175" s="2490">
        <f t="shared" si="30"/>
        <v>0</v>
      </c>
      <c r="K175" s="2491">
        <f t="shared" si="30"/>
        <v>0</v>
      </c>
      <c r="L175" s="2487">
        <f t="shared" si="30"/>
        <v>0</v>
      </c>
      <c r="M175" s="2488">
        <f t="shared" si="30"/>
        <v>0</v>
      </c>
    </row>
    <row r="176" spans="1:13" ht="11.25" customHeight="1" x14ac:dyDescent="0.25">
      <c r="B176" s="2391"/>
      <c r="C176" s="2401" t="s">
        <v>242</v>
      </c>
      <c r="D176" s="2424"/>
      <c r="E176" s="1660"/>
      <c r="F176" s="1656"/>
      <c r="G176" s="1657"/>
      <c r="H176" s="2486"/>
      <c r="I176" s="1656"/>
      <c r="J176" s="1659"/>
      <c r="K176" s="1660"/>
      <c r="L176" s="1656"/>
      <c r="M176" s="1657"/>
    </row>
    <row r="177" spans="1:13" ht="11.25" customHeight="1" x14ac:dyDescent="0.25">
      <c r="B177" s="2391"/>
      <c r="C177" s="2401" t="s">
        <v>1226</v>
      </c>
      <c r="D177" s="2424"/>
      <c r="E177" s="1660"/>
      <c r="F177" s="1656"/>
      <c r="G177" s="1657"/>
      <c r="H177" s="2486"/>
      <c r="I177" s="1656"/>
      <c r="J177" s="1659"/>
      <c r="K177" s="1660"/>
      <c r="L177" s="1656"/>
      <c r="M177" s="1657"/>
    </row>
    <row r="178" spans="1:13" ht="11.25" customHeight="1" x14ac:dyDescent="0.25">
      <c r="B178" s="2391"/>
      <c r="C178" s="2401" t="s">
        <v>1395</v>
      </c>
      <c r="D178" s="2424"/>
      <c r="E178" s="1660"/>
      <c r="F178" s="1656"/>
      <c r="G178" s="1657"/>
      <c r="H178" s="2486"/>
      <c r="I178" s="1656"/>
      <c r="J178" s="1659"/>
      <c r="K178" s="1660"/>
      <c r="L178" s="1656"/>
      <c r="M178" s="1657"/>
    </row>
    <row r="179" spans="1:13" ht="11.25" customHeight="1" x14ac:dyDescent="0.25">
      <c r="B179" s="2391"/>
      <c r="C179" s="2403" t="s">
        <v>1281</v>
      </c>
      <c r="D179" s="2424"/>
      <c r="E179" s="2496">
        <f>SUM(E176:E178)</f>
        <v>0</v>
      </c>
      <c r="F179" s="2492">
        <f t="shared" ref="F179:M179" si="31">SUM(F176:F178)</f>
        <v>0</v>
      </c>
      <c r="G179" s="2493">
        <f t="shared" si="31"/>
        <v>0</v>
      </c>
      <c r="H179" s="2494">
        <f t="shared" si="31"/>
        <v>0</v>
      </c>
      <c r="I179" s="2492">
        <f t="shared" si="31"/>
        <v>0</v>
      </c>
      <c r="J179" s="2495">
        <f t="shared" si="31"/>
        <v>0</v>
      </c>
      <c r="K179" s="2496">
        <f t="shared" si="31"/>
        <v>0</v>
      </c>
      <c r="L179" s="2492">
        <f t="shared" si="31"/>
        <v>0</v>
      </c>
      <c r="M179" s="2493">
        <f t="shared" si="31"/>
        <v>0</v>
      </c>
    </row>
    <row r="180" spans="1:13" ht="11.25" customHeight="1" x14ac:dyDescent="0.25">
      <c r="B180" s="2391"/>
      <c r="C180" s="2404" t="s">
        <v>1319</v>
      </c>
      <c r="D180" s="2424"/>
      <c r="E180" s="2501">
        <f>E175+E179</f>
        <v>0</v>
      </c>
      <c r="F180" s="2497">
        <f t="shared" ref="F180:M180" si="32">F175+F179</f>
        <v>0</v>
      </c>
      <c r="G180" s="2498">
        <f t="shared" si="32"/>
        <v>0</v>
      </c>
      <c r="H180" s="2499">
        <f t="shared" si="32"/>
        <v>0</v>
      </c>
      <c r="I180" s="2497">
        <f t="shared" si="32"/>
        <v>0</v>
      </c>
      <c r="J180" s="2500">
        <f t="shared" si="32"/>
        <v>0</v>
      </c>
      <c r="K180" s="2501">
        <f t="shared" si="32"/>
        <v>0</v>
      </c>
      <c r="L180" s="2497">
        <f t="shared" si="32"/>
        <v>0</v>
      </c>
      <c r="M180" s="2498">
        <f t="shared" si="32"/>
        <v>0</v>
      </c>
    </row>
    <row r="181" spans="1:13" ht="11.25" customHeight="1" x14ac:dyDescent="0.25">
      <c r="A181" s="2427" t="s">
        <v>2074</v>
      </c>
      <c r="B181" s="2391"/>
      <c r="C181" s="2400" t="s">
        <v>684</v>
      </c>
      <c r="D181" s="2424"/>
      <c r="E181" s="2506"/>
      <c r="F181" s="2502"/>
      <c r="G181" s="2505"/>
      <c r="H181" s="2504"/>
      <c r="I181" s="2502"/>
      <c r="J181" s="2505"/>
      <c r="K181" s="2506"/>
      <c r="L181" s="2502"/>
      <c r="M181" s="2503"/>
    </row>
    <row r="182" spans="1:13" ht="11.25" customHeight="1" x14ac:dyDescent="0.25">
      <c r="B182" s="2391"/>
      <c r="C182" s="2401" t="s">
        <v>1227</v>
      </c>
      <c r="D182" s="2424"/>
      <c r="E182" s="1660"/>
      <c r="F182" s="1656"/>
      <c r="G182" s="1657"/>
      <c r="H182" s="2486"/>
      <c r="I182" s="1656"/>
      <c r="J182" s="1659"/>
      <c r="K182" s="1660"/>
      <c r="L182" s="1656"/>
      <c r="M182" s="1657"/>
    </row>
    <row r="183" spans="1:13" ht="11.25" customHeight="1" x14ac:dyDescent="0.25">
      <c r="B183" s="2391"/>
      <c r="C183" s="2401" t="s">
        <v>506</v>
      </c>
      <c r="D183" s="2424"/>
      <c r="E183" s="1660"/>
      <c r="F183" s="1656"/>
      <c r="G183" s="1657"/>
      <c r="H183" s="2486"/>
      <c r="I183" s="1656"/>
      <c r="J183" s="1659"/>
      <c r="K183" s="1660"/>
      <c r="L183" s="1656"/>
      <c r="M183" s="1657"/>
    </row>
    <row r="184" spans="1:13" ht="11.25" customHeight="1" x14ac:dyDescent="0.25">
      <c r="B184" s="2391"/>
      <c r="C184" s="2403" t="s">
        <v>375</v>
      </c>
      <c r="D184" s="2424"/>
      <c r="E184" s="2491">
        <f>SUM(E182:E183)</f>
        <v>0</v>
      </c>
      <c r="F184" s="2487">
        <f t="shared" ref="F184:M184" si="33">SUM(F182:F183)</f>
        <v>0</v>
      </c>
      <c r="G184" s="2488">
        <f t="shared" si="33"/>
        <v>0</v>
      </c>
      <c r="H184" s="2489">
        <f t="shared" si="33"/>
        <v>0</v>
      </c>
      <c r="I184" s="2487">
        <f t="shared" si="33"/>
        <v>0</v>
      </c>
      <c r="J184" s="2490">
        <f t="shared" si="33"/>
        <v>0</v>
      </c>
      <c r="K184" s="2491">
        <f t="shared" si="33"/>
        <v>0</v>
      </c>
      <c r="L184" s="2487">
        <f t="shared" si="33"/>
        <v>0</v>
      </c>
      <c r="M184" s="2488">
        <f t="shared" si="33"/>
        <v>0</v>
      </c>
    </row>
    <row r="185" spans="1:13" ht="11.25" customHeight="1" x14ac:dyDescent="0.25">
      <c r="B185" s="2391"/>
      <c r="C185" s="2401" t="s">
        <v>507</v>
      </c>
      <c r="D185" s="2424"/>
      <c r="E185" s="1660"/>
      <c r="F185" s="1656"/>
      <c r="G185" s="1657"/>
      <c r="H185" s="2486"/>
      <c r="I185" s="1656"/>
      <c r="J185" s="1659"/>
      <c r="K185" s="1660"/>
      <c r="L185" s="1656"/>
      <c r="M185" s="1657"/>
    </row>
    <row r="186" spans="1:13" ht="11.25" customHeight="1" x14ac:dyDescent="0.25">
      <c r="B186" s="2391"/>
      <c r="C186" s="2401" t="s">
        <v>508</v>
      </c>
      <c r="D186" s="2424"/>
      <c r="E186" s="1660"/>
      <c r="F186" s="1656"/>
      <c r="G186" s="1657"/>
      <c r="H186" s="2486"/>
      <c r="I186" s="1656"/>
      <c r="J186" s="1659"/>
      <c r="K186" s="1660"/>
      <c r="L186" s="1656"/>
      <c r="M186" s="1657"/>
    </row>
    <row r="187" spans="1:13" ht="11.25" customHeight="1" x14ac:dyDescent="0.25">
      <c r="B187" s="2391"/>
      <c r="C187" s="2401" t="s">
        <v>685</v>
      </c>
      <c r="D187" s="2424"/>
      <c r="E187" s="1660"/>
      <c r="F187" s="1656"/>
      <c r="G187" s="1657"/>
      <c r="H187" s="2486"/>
      <c r="I187" s="1656"/>
      <c r="J187" s="1659"/>
      <c r="K187" s="1660"/>
      <c r="L187" s="1656"/>
      <c r="M187" s="1657"/>
    </row>
    <row r="188" spans="1:13" ht="11.25" customHeight="1" x14ac:dyDescent="0.25">
      <c r="B188" s="2391"/>
      <c r="C188" s="2403" t="s">
        <v>1281</v>
      </c>
      <c r="D188" s="2424"/>
      <c r="E188" s="2496">
        <f>SUM(E185:E187)</f>
        <v>0</v>
      </c>
      <c r="F188" s="2492">
        <f t="shared" ref="F188:M188" si="34">SUM(F185:F187)</f>
        <v>0</v>
      </c>
      <c r="G188" s="2493">
        <f t="shared" si="34"/>
        <v>0</v>
      </c>
      <c r="H188" s="2494">
        <f t="shared" si="34"/>
        <v>0</v>
      </c>
      <c r="I188" s="2492">
        <f t="shared" si="34"/>
        <v>0</v>
      </c>
      <c r="J188" s="2495">
        <f t="shared" si="34"/>
        <v>0</v>
      </c>
      <c r="K188" s="2496">
        <f t="shared" si="34"/>
        <v>0</v>
      </c>
      <c r="L188" s="2492">
        <f t="shared" si="34"/>
        <v>0</v>
      </c>
      <c r="M188" s="2493">
        <f t="shared" si="34"/>
        <v>0</v>
      </c>
    </row>
    <row r="189" spans="1:13" ht="11.25" customHeight="1" x14ac:dyDescent="0.25">
      <c r="B189" s="2391"/>
      <c r="C189" s="2404" t="s">
        <v>1319</v>
      </c>
      <c r="D189" s="2424"/>
      <c r="E189" s="2501">
        <f>E184+E188</f>
        <v>0</v>
      </c>
      <c r="F189" s="2497">
        <f t="shared" ref="F189:M189" si="35">F184+F188</f>
        <v>0</v>
      </c>
      <c r="G189" s="2498">
        <f t="shared" si="35"/>
        <v>0</v>
      </c>
      <c r="H189" s="2499">
        <f t="shared" si="35"/>
        <v>0</v>
      </c>
      <c r="I189" s="2497">
        <f t="shared" si="35"/>
        <v>0</v>
      </c>
      <c r="J189" s="2500">
        <f t="shared" si="35"/>
        <v>0</v>
      </c>
      <c r="K189" s="2501">
        <f t="shared" si="35"/>
        <v>0</v>
      </c>
      <c r="L189" s="2497">
        <f t="shared" si="35"/>
        <v>0</v>
      </c>
      <c r="M189" s="2498">
        <f t="shared" si="35"/>
        <v>0</v>
      </c>
    </row>
    <row r="190" spans="1:13" ht="11.25" customHeight="1" x14ac:dyDescent="0.25">
      <c r="A190" s="2427" t="s">
        <v>2074</v>
      </c>
      <c r="B190" s="2391"/>
      <c r="C190" s="2400" t="s">
        <v>688</v>
      </c>
      <c r="D190" s="2424"/>
      <c r="E190" s="2506"/>
      <c r="F190" s="2502"/>
      <c r="G190" s="2505"/>
      <c r="H190" s="2504"/>
      <c r="I190" s="2502"/>
      <c r="J190" s="2505"/>
      <c r="K190" s="2506"/>
      <c r="L190" s="2502"/>
      <c r="M190" s="2503"/>
    </row>
    <row r="191" spans="1:13" ht="11.25" customHeight="1" x14ac:dyDescent="0.25">
      <c r="B191" s="2391"/>
      <c r="C191" s="2401" t="s">
        <v>740</v>
      </c>
      <c r="D191" s="2424"/>
      <c r="E191" s="1670"/>
      <c r="F191" s="1665"/>
      <c r="G191" s="1666"/>
      <c r="H191" s="2507"/>
      <c r="I191" s="1665"/>
      <c r="J191" s="2508"/>
      <c r="K191" s="1670"/>
      <c r="L191" s="1665"/>
      <c r="M191" s="1666"/>
    </row>
    <row r="192" spans="1:13" ht="11.25" customHeight="1" x14ac:dyDescent="0.25">
      <c r="B192" s="2391"/>
      <c r="C192" s="2403" t="s">
        <v>375</v>
      </c>
      <c r="D192" s="2424"/>
      <c r="E192" s="2506">
        <f>SUM(E191)</f>
        <v>0</v>
      </c>
      <c r="F192" s="2502">
        <f t="shared" ref="F192:M192" si="36">SUM(F191)</f>
        <v>0</v>
      </c>
      <c r="G192" s="2503">
        <f t="shared" si="36"/>
        <v>0</v>
      </c>
      <c r="H192" s="2504">
        <f t="shared" si="36"/>
        <v>0</v>
      </c>
      <c r="I192" s="2502">
        <f t="shared" si="36"/>
        <v>0</v>
      </c>
      <c r="J192" s="2505">
        <f t="shared" si="36"/>
        <v>0</v>
      </c>
      <c r="K192" s="2506">
        <f t="shared" si="36"/>
        <v>0</v>
      </c>
      <c r="L192" s="2502">
        <f t="shared" si="36"/>
        <v>0</v>
      </c>
      <c r="M192" s="2503">
        <f t="shared" si="36"/>
        <v>0</v>
      </c>
    </row>
    <row r="193" spans="1:13" ht="11.25" customHeight="1" x14ac:dyDescent="0.25">
      <c r="B193" s="2391"/>
      <c r="C193" s="2401" t="s">
        <v>689</v>
      </c>
      <c r="D193" s="2424"/>
      <c r="E193" s="1660"/>
      <c r="F193" s="1656"/>
      <c r="G193" s="1657"/>
      <c r="H193" s="2486"/>
      <c r="I193" s="1656"/>
      <c r="J193" s="1659"/>
      <c r="K193" s="1660"/>
      <c r="L193" s="1656"/>
      <c r="M193" s="1657"/>
    </row>
    <row r="194" spans="1:13" ht="11.25" customHeight="1" x14ac:dyDescent="0.25">
      <c r="B194" s="2391"/>
      <c r="C194" s="2401" t="s">
        <v>690</v>
      </c>
      <c r="D194" s="2424"/>
      <c r="E194" s="1660"/>
      <c r="F194" s="1656"/>
      <c r="G194" s="1657"/>
      <c r="H194" s="2486"/>
      <c r="I194" s="1656"/>
      <c r="J194" s="1659"/>
      <c r="K194" s="1660"/>
      <c r="L194" s="1656"/>
      <c r="M194" s="1657"/>
    </row>
    <row r="195" spans="1:13" ht="11.25" customHeight="1" x14ac:dyDescent="0.25">
      <c r="B195" s="2391"/>
      <c r="C195" s="2401" t="s">
        <v>878</v>
      </c>
      <c r="D195" s="2424"/>
      <c r="E195" s="1660"/>
      <c r="F195" s="1656"/>
      <c r="G195" s="1657"/>
      <c r="H195" s="2486"/>
      <c r="I195" s="1656"/>
      <c r="J195" s="1659"/>
      <c r="K195" s="1660"/>
      <c r="L195" s="1656"/>
      <c r="M195" s="1657"/>
    </row>
    <row r="196" spans="1:13" ht="11.25" customHeight="1" x14ac:dyDescent="0.25">
      <c r="B196" s="2391"/>
      <c r="C196" s="2401" t="s">
        <v>879</v>
      </c>
      <c r="D196" s="2424"/>
      <c r="E196" s="1660"/>
      <c r="F196" s="1656"/>
      <c r="G196" s="1657"/>
      <c r="H196" s="2486"/>
      <c r="I196" s="1656"/>
      <c r="J196" s="1659"/>
      <c r="K196" s="1660"/>
      <c r="L196" s="1656"/>
      <c r="M196" s="1657"/>
    </row>
    <row r="197" spans="1:13" ht="11.25" customHeight="1" x14ac:dyDescent="0.25">
      <c r="B197" s="2391"/>
      <c r="C197" s="2401" t="s">
        <v>198</v>
      </c>
      <c r="D197" s="2424"/>
      <c r="E197" s="1660"/>
      <c r="F197" s="1656"/>
      <c r="G197" s="1657"/>
      <c r="H197" s="2486"/>
      <c r="I197" s="1656"/>
      <c r="J197" s="1659"/>
      <c r="K197" s="1660"/>
      <c r="L197" s="1656"/>
      <c r="M197" s="1657"/>
    </row>
    <row r="198" spans="1:13" ht="11.25" customHeight="1" x14ac:dyDescent="0.25">
      <c r="B198" s="2391"/>
      <c r="C198" s="2403" t="s">
        <v>1281</v>
      </c>
      <c r="D198" s="2424"/>
      <c r="E198" s="2496">
        <f t="shared" ref="E198:M198" si="37">SUM(E193:E197)</f>
        <v>0</v>
      </c>
      <c r="F198" s="2492">
        <f t="shared" si="37"/>
        <v>0</v>
      </c>
      <c r="G198" s="2493">
        <f t="shared" si="37"/>
        <v>0</v>
      </c>
      <c r="H198" s="2494">
        <f t="shared" si="37"/>
        <v>0</v>
      </c>
      <c r="I198" s="2492">
        <f t="shared" si="37"/>
        <v>0</v>
      </c>
      <c r="J198" s="2495">
        <f t="shared" si="37"/>
        <v>0</v>
      </c>
      <c r="K198" s="2496">
        <f t="shared" si="37"/>
        <v>0</v>
      </c>
      <c r="L198" s="2492">
        <f t="shared" si="37"/>
        <v>0</v>
      </c>
      <c r="M198" s="2493">
        <f t="shared" si="37"/>
        <v>0</v>
      </c>
    </row>
    <row r="199" spans="1:13" ht="11.25" customHeight="1" x14ac:dyDescent="0.25">
      <c r="B199" s="2391"/>
      <c r="C199" s="2404" t="s">
        <v>1319</v>
      </c>
      <c r="D199" s="2424"/>
      <c r="E199" s="2501">
        <f>E192+E198</f>
        <v>0</v>
      </c>
      <c r="F199" s="2497">
        <f t="shared" ref="F199:M199" si="38">F192+F198</f>
        <v>0</v>
      </c>
      <c r="G199" s="2498">
        <f t="shared" si="38"/>
        <v>0</v>
      </c>
      <c r="H199" s="2499">
        <f t="shared" si="38"/>
        <v>0</v>
      </c>
      <c r="I199" s="2497">
        <f t="shared" si="38"/>
        <v>0</v>
      </c>
      <c r="J199" s="2500">
        <f t="shared" si="38"/>
        <v>0</v>
      </c>
      <c r="K199" s="2501">
        <f t="shared" si="38"/>
        <v>0</v>
      </c>
      <c r="L199" s="2497">
        <f t="shared" si="38"/>
        <v>0</v>
      </c>
      <c r="M199" s="2498">
        <f t="shared" si="38"/>
        <v>0</v>
      </c>
    </row>
    <row r="200" spans="1:13" ht="5.0999999999999996" customHeight="1" x14ac:dyDescent="0.25">
      <c r="B200" s="2391"/>
      <c r="C200" s="2405"/>
      <c r="D200" s="2425"/>
      <c r="E200" s="1142"/>
      <c r="F200" s="1138"/>
      <c r="G200" s="1139"/>
      <c r="H200" s="1140"/>
      <c r="I200" s="1138"/>
      <c r="J200" s="1141"/>
      <c r="K200" s="1142"/>
      <c r="L200" s="1138"/>
      <c r="M200" s="1139"/>
    </row>
    <row r="201" spans="1:13" ht="24.95" customHeight="1" x14ac:dyDescent="0.25">
      <c r="A201" s="2817" t="s">
        <v>2075</v>
      </c>
      <c r="B201" s="2382"/>
      <c r="C201" s="2383"/>
      <c r="D201" s="2384"/>
      <c r="E201" s="2385" t="str">
        <f>head1b</f>
        <v>2011/12</v>
      </c>
      <c r="F201" s="1119" t="str">
        <f>head1A</f>
        <v>2012/13</v>
      </c>
      <c r="G201" s="1120" t="str">
        <f>Head1</f>
        <v>2013/14</v>
      </c>
      <c r="H201" s="2774" t="str">
        <f>Head2</f>
        <v>Current Year 2014/15</v>
      </c>
      <c r="I201" s="2775"/>
      <c r="J201" s="2776"/>
      <c r="K201" s="2774" t="str">
        <f>Head3</f>
        <v>2015/16 Medium Term Revenue &amp; Expenditure Framework</v>
      </c>
      <c r="L201" s="2775"/>
      <c r="M201" s="2776"/>
    </row>
    <row r="202" spans="1:13" ht="24.95" customHeight="1" x14ac:dyDescent="0.25">
      <c r="A202" s="2817"/>
      <c r="B202" s="2386" t="s">
        <v>1982</v>
      </c>
      <c r="C202" s="1580"/>
      <c r="D202" s="1581"/>
      <c r="E202" s="2387" t="str">
        <f>Head5A</f>
        <v>Outcome</v>
      </c>
      <c r="F202" s="2388" t="str">
        <f>Head5A</f>
        <v>Outcome</v>
      </c>
      <c r="G202" s="2389" t="str">
        <f>Head5A</f>
        <v>Outcome</v>
      </c>
      <c r="H202" s="2390" t="str">
        <f>Head6</f>
        <v>Original Budget</v>
      </c>
      <c r="I202" s="2388" t="str">
        <f>Head7</f>
        <v>Adjusted Budget</v>
      </c>
      <c r="J202" s="2389" t="str">
        <f>Head8</f>
        <v>Full Year Forecast</v>
      </c>
      <c r="K202" s="2390" t="str">
        <f>Head9</f>
        <v>Budget Year 2015/16</v>
      </c>
      <c r="L202" s="2388" t="str">
        <f>Head10</f>
        <v>Budget Year +1 2016/17</v>
      </c>
      <c r="M202" s="2389" t="str">
        <f>Head11</f>
        <v>Budget Year +2 2017/18</v>
      </c>
    </row>
    <row r="203" spans="1:13" ht="11.25" customHeight="1" x14ac:dyDescent="0.25">
      <c r="A203" s="2406" t="s">
        <v>2076</v>
      </c>
      <c r="B203" s="2391"/>
      <c r="C203" s="2392" t="s">
        <v>200</v>
      </c>
      <c r="D203" s="2424"/>
      <c r="E203" s="555"/>
      <c r="F203" s="2393"/>
      <c r="G203" s="2394"/>
      <c r="H203" s="2395"/>
      <c r="I203" s="2396"/>
      <c r="J203" s="2397"/>
      <c r="K203" s="2398"/>
      <c r="L203" s="2396"/>
      <c r="M203" s="2399"/>
    </row>
    <row r="204" spans="1:13" ht="11.25" customHeight="1" x14ac:dyDescent="0.25">
      <c r="A204" s="1644"/>
      <c r="B204" s="2391"/>
      <c r="C204" s="2400" t="s">
        <v>1848</v>
      </c>
      <c r="D204" s="2424"/>
      <c r="E204" s="1130"/>
      <c r="F204" s="1126"/>
      <c r="G204" s="1129"/>
      <c r="H204" s="1061"/>
      <c r="I204" s="1059"/>
      <c r="J204" s="1062"/>
      <c r="K204" s="1063"/>
      <c r="L204" s="1059"/>
      <c r="M204" s="1060"/>
    </row>
    <row r="205" spans="1:13" ht="11.25" customHeight="1" x14ac:dyDescent="0.25">
      <c r="A205" s="1644"/>
      <c r="B205" s="2391"/>
      <c r="C205" s="2401" t="s">
        <v>1636</v>
      </c>
      <c r="D205" s="2424"/>
      <c r="E205" s="1660"/>
      <c r="F205" s="1656"/>
      <c r="G205" s="1657"/>
      <c r="H205" s="2486"/>
      <c r="I205" s="1656"/>
      <c r="J205" s="1659"/>
      <c r="K205" s="1660"/>
      <c r="L205" s="1656"/>
      <c r="M205" s="1657"/>
    </row>
    <row r="206" spans="1:13" ht="11.25" customHeight="1" x14ac:dyDescent="0.25">
      <c r="A206" s="1644"/>
      <c r="B206" s="2391"/>
      <c r="C206" s="2401" t="s">
        <v>1847</v>
      </c>
      <c r="D206" s="2424"/>
      <c r="E206" s="1660"/>
      <c r="F206" s="1656"/>
      <c r="G206" s="1657"/>
      <c r="H206" s="2486"/>
      <c r="I206" s="1656"/>
      <c r="J206" s="1659"/>
      <c r="K206" s="1660"/>
      <c r="L206" s="1656"/>
      <c r="M206" s="1657"/>
    </row>
    <row r="207" spans="1:13" ht="11.25" customHeight="1" x14ac:dyDescent="0.25">
      <c r="A207" s="1644"/>
      <c r="B207" s="2402">
        <v>8</v>
      </c>
      <c r="C207" s="2401" t="s">
        <v>131</v>
      </c>
      <c r="D207" s="2424"/>
      <c r="E207" s="1660"/>
      <c r="F207" s="1656"/>
      <c r="G207" s="1657"/>
      <c r="H207" s="2486"/>
      <c r="I207" s="1656"/>
      <c r="J207" s="1659"/>
      <c r="K207" s="1660"/>
      <c r="L207" s="1656"/>
      <c r="M207" s="1657"/>
    </row>
    <row r="208" spans="1:13" ht="11.25" customHeight="1" x14ac:dyDescent="0.25">
      <c r="A208" s="1644"/>
      <c r="B208" s="2402">
        <v>10</v>
      </c>
      <c r="C208" s="2401" t="s">
        <v>132</v>
      </c>
      <c r="D208" s="2424"/>
      <c r="E208" s="1660"/>
      <c r="F208" s="1656"/>
      <c r="G208" s="1657"/>
      <c r="H208" s="2486"/>
      <c r="I208" s="1656"/>
      <c r="J208" s="1659"/>
      <c r="K208" s="1660"/>
      <c r="L208" s="1656"/>
      <c r="M208" s="1657"/>
    </row>
    <row r="209" spans="1:13" ht="11.25" customHeight="1" x14ac:dyDescent="0.25">
      <c r="A209" s="1644"/>
      <c r="B209" s="2402"/>
      <c r="C209" s="2403" t="s">
        <v>375</v>
      </c>
      <c r="D209" s="2424"/>
      <c r="E209" s="2491">
        <f>SUM(E205:E208)</f>
        <v>0</v>
      </c>
      <c r="F209" s="2487">
        <f t="shared" ref="F209:M209" si="39">SUM(F205:F208)</f>
        <v>0</v>
      </c>
      <c r="G209" s="2488">
        <f t="shared" si="39"/>
        <v>0</v>
      </c>
      <c r="H209" s="2489">
        <f t="shared" si="39"/>
        <v>0</v>
      </c>
      <c r="I209" s="2487">
        <f t="shared" si="39"/>
        <v>0</v>
      </c>
      <c r="J209" s="2490">
        <f t="shared" si="39"/>
        <v>0</v>
      </c>
      <c r="K209" s="2491">
        <f t="shared" si="39"/>
        <v>0</v>
      </c>
      <c r="L209" s="2487">
        <f t="shared" si="39"/>
        <v>0</v>
      </c>
      <c r="M209" s="2488">
        <f t="shared" si="39"/>
        <v>0</v>
      </c>
    </row>
    <row r="210" spans="1:13" ht="11.25" customHeight="1" x14ac:dyDescent="0.25">
      <c r="A210" s="1644"/>
      <c r="B210" s="2402">
        <v>9</v>
      </c>
      <c r="C210" s="2401" t="s">
        <v>504</v>
      </c>
      <c r="D210" s="2424"/>
      <c r="E210" s="1660"/>
      <c r="F210" s="1656"/>
      <c r="G210" s="1657"/>
      <c r="H210" s="2486"/>
      <c r="I210" s="1656"/>
      <c r="J210" s="1659"/>
      <c r="K210" s="1660"/>
      <c r="L210" s="1656"/>
      <c r="M210" s="1657"/>
    </row>
    <row r="211" spans="1:13" ht="11.25" customHeight="1" x14ac:dyDescent="0.25">
      <c r="A211" s="1644"/>
      <c r="B211" s="2402">
        <v>10</v>
      </c>
      <c r="C211" s="2401" t="s">
        <v>505</v>
      </c>
      <c r="D211" s="2424"/>
      <c r="E211" s="1660"/>
      <c r="F211" s="1656"/>
      <c r="G211" s="1657"/>
      <c r="H211" s="2486"/>
      <c r="I211" s="1656"/>
      <c r="J211" s="1659"/>
      <c r="K211" s="1660"/>
      <c r="L211" s="1656"/>
      <c r="M211" s="1657"/>
    </row>
    <row r="212" spans="1:13" ht="11.25" customHeight="1" x14ac:dyDescent="0.25">
      <c r="A212" s="1644"/>
      <c r="B212" s="2391"/>
      <c r="C212" s="2401" t="s">
        <v>966</v>
      </c>
      <c r="D212" s="2424"/>
      <c r="E212" s="1660"/>
      <c r="F212" s="1656"/>
      <c r="G212" s="1657"/>
      <c r="H212" s="2486"/>
      <c r="I212" s="1656"/>
      <c r="J212" s="1659"/>
      <c r="K212" s="1660"/>
      <c r="L212" s="1656"/>
      <c r="M212" s="1657"/>
    </row>
    <row r="213" spans="1:13" ht="11.25" customHeight="1" x14ac:dyDescent="0.25">
      <c r="A213" s="1644"/>
      <c r="B213" s="2391"/>
      <c r="C213" s="2403" t="s">
        <v>1281</v>
      </c>
      <c r="D213" s="2424"/>
      <c r="E213" s="2496">
        <f>SUM(E210:E212)</f>
        <v>0</v>
      </c>
      <c r="F213" s="2492">
        <f t="shared" ref="F213:M213" si="40">SUM(F210:F212)</f>
        <v>0</v>
      </c>
      <c r="G213" s="2493">
        <f t="shared" si="40"/>
        <v>0</v>
      </c>
      <c r="H213" s="2494">
        <f t="shared" si="40"/>
        <v>0</v>
      </c>
      <c r="I213" s="2492">
        <f t="shared" si="40"/>
        <v>0</v>
      </c>
      <c r="J213" s="2495">
        <f t="shared" si="40"/>
        <v>0</v>
      </c>
      <c r="K213" s="2496">
        <f t="shared" si="40"/>
        <v>0</v>
      </c>
      <c r="L213" s="2492">
        <f t="shared" si="40"/>
        <v>0</v>
      </c>
      <c r="M213" s="2493">
        <f t="shared" si="40"/>
        <v>0</v>
      </c>
    </row>
    <row r="214" spans="1:13" ht="11.25" customHeight="1" x14ac:dyDescent="0.25">
      <c r="B214" s="2391"/>
      <c r="C214" s="2404" t="s">
        <v>1319</v>
      </c>
      <c r="D214" s="2424"/>
      <c r="E214" s="2501">
        <f>E209+E213</f>
        <v>0</v>
      </c>
      <c r="F214" s="2497">
        <f t="shared" ref="F214:M214" si="41">F209+F213</f>
        <v>0</v>
      </c>
      <c r="G214" s="2498">
        <f t="shared" si="41"/>
        <v>0</v>
      </c>
      <c r="H214" s="2499">
        <f t="shared" si="41"/>
        <v>0</v>
      </c>
      <c r="I214" s="2497">
        <f t="shared" si="41"/>
        <v>0</v>
      </c>
      <c r="J214" s="2500">
        <f t="shared" si="41"/>
        <v>0</v>
      </c>
      <c r="K214" s="2501">
        <f t="shared" si="41"/>
        <v>0</v>
      </c>
      <c r="L214" s="2497">
        <f t="shared" si="41"/>
        <v>0</v>
      </c>
      <c r="M214" s="2498">
        <f t="shared" si="41"/>
        <v>0</v>
      </c>
    </row>
    <row r="215" spans="1:13" ht="11.25" customHeight="1" x14ac:dyDescent="0.25">
      <c r="A215" s="2406" t="s">
        <v>2076</v>
      </c>
      <c r="B215" s="2391"/>
      <c r="C215" s="2400" t="s">
        <v>1320</v>
      </c>
      <c r="D215" s="2424"/>
      <c r="E215" s="2506"/>
      <c r="F215" s="2502"/>
      <c r="G215" s="2505"/>
      <c r="H215" s="2504"/>
      <c r="I215" s="2502"/>
      <c r="J215" s="2505"/>
      <c r="K215" s="2506"/>
      <c r="L215" s="2502"/>
      <c r="M215" s="2503"/>
    </row>
    <row r="216" spans="1:13" ht="11.25" customHeight="1" x14ac:dyDescent="0.25">
      <c r="A216" s="1644"/>
      <c r="B216" s="2391"/>
      <c r="C216" s="2401" t="s">
        <v>1321</v>
      </c>
      <c r="D216" s="2424"/>
      <c r="E216" s="1660"/>
      <c r="F216" s="1656"/>
      <c r="G216" s="1657"/>
      <c r="H216" s="2486"/>
      <c r="I216" s="1656"/>
      <c r="J216" s="1659"/>
      <c r="K216" s="1660"/>
      <c r="L216" s="1656"/>
      <c r="M216" s="1657"/>
    </row>
    <row r="217" spans="1:13" ht="11.25" customHeight="1" x14ac:dyDescent="0.25">
      <c r="A217" s="1644"/>
      <c r="B217" s="2391"/>
      <c r="C217" s="2401" t="s">
        <v>1322</v>
      </c>
      <c r="D217" s="2424"/>
      <c r="E217" s="1660"/>
      <c r="F217" s="1656"/>
      <c r="G217" s="1657"/>
      <c r="H217" s="2486"/>
      <c r="I217" s="1656"/>
      <c r="J217" s="1659"/>
      <c r="K217" s="1660"/>
      <c r="L217" s="1656"/>
      <c r="M217" s="1657"/>
    </row>
    <row r="218" spans="1:13" ht="11.25" customHeight="1" x14ac:dyDescent="0.25">
      <c r="A218" s="1644"/>
      <c r="B218" s="2391"/>
      <c r="C218" s="2401" t="s">
        <v>1393</v>
      </c>
      <c r="D218" s="2424"/>
      <c r="E218" s="1660"/>
      <c r="F218" s="1656"/>
      <c r="G218" s="1657"/>
      <c r="H218" s="2486"/>
      <c r="I218" s="1656"/>
      <c r="J218" s="1659"/>
      <c r="K218" s="1660"/>
      <c r="L218" s="1656"/>
      <c r="M218" s="1657"/>
    </row>
    <row r="219" spans="1:13" ht="11.25" customHeight="1" x14ac:dyDescent="0.25">
      <c r="A219" s="1644"/>
      <c r="B219" s="2391"/>
      <c r="C219" s="2401" t="s">
        <v>241</v>
      </c>
      <c r="D219" s="2424"/>
      <c r="E219" s="1660"/>
      <c r="F219" s="1656"/>
      <c r="G219" s="1657"/>
      <c r="H219" s="2486"/>
      <c r="I219" s="1656"/>
      <c r="J219" s="1659"/>
      <c r="K219" s="1660"/>
      <c r="L219" s="1656"/>
      <c r="M219" s="1657"/>
    </row>
    <row r="220" spans="1:13" ht="11.25" customHeight="1" x14ac:dyDescent="0.25">
      <c r="A220" s="1644"/>
      <c r="B220" s="2391"/>
      <c r="C220" s="2401" t="s">
        <v>243</v>
      </c>
      <c r="D220" s="2424"/>
      <c r="E220" s="1660">
        <v>74000000</v>
      </c>
      <c r="F220" s="1656"/>
      <c r="G220" s="1657"/>
      <c r="H220" s="2486"/>
      <c r="I220" s="1656"/>
      <c r="J220" s="1659"/>
      <c r="K220" s="1660"/>
      <c r="L220" s="1656"/>
      <c r="M220" s="1657"/>
    </row>
    <row r="221" spans="1:13" ht="11.25" customHeight="1" x14ac:dyDescent="0.25">
      <c r="A221" s="1644"/>
      <c r="B221" s="2391"/>
      <c r="C221" s="2403" t="s">
        <v>375</v>
      </c>
      <c r="D221" s="2424"/>
      <c r="E221" s="2491">
        <f>SUM(E216:E220)</f>
        <v>74000000</v>
      </c>
      <c r="F221" s="2487">
        <f t="shared" ref="F221:M221" si="42">SUM(F216:F220)</f>
        <v>0</v>
      </c>
      <c r="G221" s="2488">
        <f t="shared" si="42"/>
        <v>0</v>
      </c>
      <c r="H221" s="2489">
        <f t="shared" si="42"/>
        <v>0</v>
      </c>
      <c r="I221" s="2487">
        <f t="shared" si="42"/>
        <v>0</v>
      </c>
      <c r="J221" s="2490">
        <f t="shared" si="42"/>
        <v>0</v>
      </c>
      <c r="K221" s="2491">
        <f t="shared" si="42"/>
        <v>0</v>
      </c>
      <c r="L221" s="2487">
        <f t="shared" si="42"/>
        <v>0</v>
      </c>
      <c r="M221" s="2488">
        <f t="shared" si="42"/>
        <v>0</v>
      </c>
    </row>
    <row r="222" spans="1:13" ht="11.25" customHeight="1" x14ac:dyDescent="0.25">
      <c r="A222" s="1644"/>
      <c r="B222" s="2391"/>
      <c r="C222" s="2401" t="s">
        <v>242</v>
      </c>
      <c r="D222" s="2424"/>
      <c r="E222" s="1660"/>
      <c r="F222" s="1656"/>
      <c r="G222" s="1657"/>
      <c r="H222" s="2486"/>
      <c r="I222" s="1656"/>
      <c r="J222" s="1659"/>
      <c r="K222" s="1660"/>
      <c r="L222" s="1656"/>
      <c r="M222" s="1657"/>
    </row>
    <row r="223" spans="1:13" ht="11.25" customHeight="1" x14ac:dyDescent="0.25">
      <c r="A223" s="1644"/>
      <c r="B223" s="2391"/>
      <c r="C223" s="2401" t="s">
        <v>1226</v>
      </c>
      <c r="D223" s="2424"/>
      <c r="E223" s="1660"/>
      <c r="F223" s="1656"/>
      <c r="G223" s="1657"/>
      <c r="H223" s="2486"/>
      <c r="I223" s="1656"/>
      <c r="J223" s="1659"/>
      <c r="K223" s="1660"/>
      <c r="L223" s="1656"/>
      <c r="M223" s="1657"/>
    </row>
    <row r="224" spans="1:13" ht="11.25" customHeight="1" x14ac:dyDescent="0.25">
      <c r="A224" s="1644"/>
      <c r="B224" s="2391"/>
      <c r="C224" s="2401" t="s">
        <v>1395</v>
      </c>
      <c r="D224" s="2424"/>
      <c r="E224" s="1660"/>
      <c r="F224" s="1656"/>
      <c r="G224" s="1657"/>
      <c r="H224" s="2486"/>
      <c r="I224" s="1656"/>
      <c r="J224" s="1659"/>
      <c r="K224" s="1660"/>
      <c r="L224" s="1656"/>
      <c r="M224" s="1657"/>
    </row>
    <row r="225" spans="1:13" ht="11.25" customHeight="1" x14ac:dyDescent="0.25">
      <c r="A225" s="1644"/>
      <c r="B225" s="2391"/>
      <c r="C225" s="2403" t="s">
        <v>1281</v>
      </c>
      <c r="D225" s="2424"/>
      <c r="E225" s="2496">
        <f>SUM(E222:E224)</f>
        <v>0</v>
      </c>
      <c r="F225" s="2492">
        <f t="shared" ref="F225:M225" si="43">SUM(F222:F224)</f>
        <v>0</v>
      </c>
      <c r="G225" s="2493">
        <f t="shared" si="43"/>
        <v>0</v>
      </c>
      <c r="H225" s="2494">
        <f t="shared" si="43"/>
        <v>0</v>
      </c>
      <c r="I225" s="2492">
        <f t="shared" si="43"/>
        <v>0</v>
      </c>
      <c r="J225" s="2495">
        <f t="shared" si="43"/>
        <v>0</v>
      </c>
      <c r="K225" s="2496">
        <f t="shared" si="43"/>
        <v>0</v>
      </c>
      <c r="L225" s="2492">
        <f t="shared" si="43"/>
        <v>0</v>
      </c>
      <c r="M225" s="2493">
        <f t="shared" si="43"/>
        <v>0</v>
      </c>
    </row>
    <row r="226" spans="1:13" ht="11.25" customHeight="1" x14ac:dyDescent="0.25">
      <c r="B226" s="2391"/>
      <c r="C226" s="2404" t="s">
        <v>1319</v>
      </c>
      <c r="D226" s="2424"/>
      <c r="E226" s="2501">
        <f>E221+E225</f>
        <v>74000000</v>
      </c>
      <c r="F226" s="2497">
        <f t="shared" ref="F226:M226" si="44">F221+F225</f>
        <v>0</v>
      </c>
      <c r="G226" s="2498">
        <f t="shared" si="44"/>
        <v>0</v>
      </c>
      <c r="H226" s="2499">
        <f t="shared" si="44"/>
        <v>0</v>
      </c>
      <c r="I226" s="2497">
        <f t="shared" si="44"/>
        <v>0</v>
      </c>
      <c r="J226" s="2500">
        <f t="shared" si="44"/>
        <v>0</v>
      </c>
      <c r="K226" s="2501">
        <f t="shared" si="44"/>
        <v>0</v>
      </c>
      <c r="L226" s="2497">
        <f t="shared" si="44"/>
        <v>0</v>
      </c>
      <c r="M226" s="2498">
        <f t="shared" si="44"/>
        <v>0</v>
      </c>
    </row>
    <row r="227" spans="1:13" ht="11.25" customHeight="1" x14ac:dyDescent="0.25">
      <c r="A227" s="2406" t="s">
        <v>2076</v>
      </c>
      <c r="B227" s="2391"/>
      <c r="C227" s="2400" t="s">
        <v>684</v>
      </c>
      <c r="D227" s="2424"/>
      <c r="E227" s="2506"/>
      <c r="F227" s="2502"/>
      <c r="G227" s="2505"/>
      <c r="H227" s="2504"/>
      <c r="I227" s="2502"/>
      <c r="J227" s="2505"/>
      <c r="K227" s="2506"/>
      <c r="L227" s="2502"/>
      <c r="M227" s="2503"/>
    </row>
    <row r="228" spans="1:13" ht="11.25" customHeight="1" x14ac:dyDescent="0.25">
      <c r="A228" s="1644"/>
      <c r="B228" s="2391"/>
      <c r="C228" s="2401" t="s">
        <v>1227</v>
      </c>
      <c r="D228" s="2424"/>
      <c r="E228" s="1660">
        <v>5000000</v>
      </c>
      <c r="F228" s="1656"/>
      <c r="G228" s="1657"/>
      <c r="H228" s="2486"/>
      <c r="I228" s="1656"/>
      <c r="J228" s="1659"/>
      <c r="K228" s="1660"/>
      <c r="L228" s="1656"/>
      <c r="M228" s="1657"/>
    </row>
    <row r="229" spans="1:13" ht="11.25" customHeight="1" x14ac:dyDescent="0.25">
      <c r="A229" s="1644"/>
      <c r="B229" s="2391"/>
      <c r="C229" s="2401" t="s">
        <v>506</v>
      </c>
      <c r="D229" s="2424"/>
      <c r="E229" s="1660"/>
      <c r="F229" s="1656"/>
      <c r="G229" s="1657"/>
      <c r="H229" s="2486"/>
      <c r="I229" s="1656"/>
      <c r="J229" s="1659"/>
      <c r="K229" s="1660"/>
      <c r="L229" s="1656"/>
      <c r="M229" s="1657"/>
    </row>
    <row r="230" spans="1:13" ht="11.25" customHeight="1" x14ac:dyDescent="0.25">
      <c r="A230" s="1644"/>
      <c r="B230" s="2391"/>
      <c r="C230" s="2403" t="s">
        <v>375</v>
      </c>
      <c r="D230" s="2424"/>
      <c r="E230" s="2491">
        <f>SUM(E228:E229)</f>
        <v>5000000</v>
      </c>
      <c r="F230" s="2487">
        <f t="shared" ref="F230:M230" si="45">SUM(F228:F229)</f>
        <v>0</v>
      </c>
      <c r="G230" s="2488">
        <f t="shared" si="45"/>
        <v>0</v>
      </c>
      <c r="H230" s="2489">
        <f t="shared" si="45"/>
        <v>0</v>
      </c>
      <c r="I230" s="2487">
        <f t="shared" si="45"/>
        <v>0</v>
      </c>
      <c r="J230" s="2490">
        <f t="shared" si="45"/>
        <v>0</v>
      </c>
      <c r="K230" s="2491">
        <f t="shared" si="45"/>
        <v>0</v>
      </c>
      <c r="L230" s="2487">
        <f t="shared" si="45"/>
        <v>0</v>
      </c>
      <c r="M230" s="2488">
        <f t="shared" si="45"/>
        <v>0</v>
      </c>
    </row>
    <row r="231" spans="1:13" ht="11.25" customHeight="1" x14ac:dyDescent="0.25">
      <c r="A231" s="1644"/>
      <c r="B231" s="2391"/>
      <c r="C231" s="2401" t="s">
        <v>507</v>
      </c>
      <c r="D231" s="2424"/>
      <c r="E231" s="1660"/>
      <c r="F231" s="1656"/>
      <c r="G231" s="1657"/>
      <c r="H231" s="2486"/>
      <c r="I231" s="1656"/>
      <c r="J231" s="1659"/>
      <c r="K231" s="1660"/>
      <c r="L231" s="1656"/>
      <c r="M231" s="1657"/>
    </row>
    <row r="232" spans="1:13" ht="11.25" customHeight="1" x14ac:dyDescent="0.25">
      <c r="A232" s="1644"/>
      <c r="B232" s="2391"/>
      <c r="C232" s="2401" t="s">
        <v>508</v>
      </c>
      <c r="D232" s="2424"/>
      <c r="E232" s="1660"/>
      <c r="F232" s="1656"/>
      <c r="G232" s="1657"/>
      <c r="H232" s="2486"/>
      <c r="I232" s="1656"/>
      <c r="J232" s="1659"/>
      <c r="K232" s="1660"/>
      <c r="L232" s="1656"/>
      <c r="M232" s="1657"/>
    </row>
    <row r="233" spans="1:13" ht="11.25" customHeight="1" x14ac:dyDescent="0.25">
      <c r="A233" s="1644"/>
      <c r="B233" s="2391"/>
      <c r="C233" s="2401" t="s">
        <v>685</v>
      </c>
      <c r="D233" s="2424"/>
      <c r="E233" s="1660"/>
      <c r="F233" s="1656"/>
      <c r="G233" s="1657"/>
      <c r="H233" s="2486"/>
      <c r="I233" s="1656"/>
      <c r="J233" s="1659"/>
      <c r="K233" s="1660"/>
      <c r="L233" s="1656"/>
      <c r="M233" s="1657"/>
    </row>
    <row r="234" spans="1:13" ht="11.25" customHeight="1" x14ac:dyDescent="0.25">
      <c r="A234" s="1644"/>
      <c r="B234" s="2391"/>
      <c r="C234" s="2403" t="s">
        <v>1281</v>
      </c>
      <c r="D234" s="2424"/>
      <c r="E234" s="2496">
        <f>SUM(E231:E233)</f>
        <v>0</v>
      </c>
      <c r="F234" s="2492">
        <f t="shared" ref="F234:M234" si="46">SUM(F231:F233)</f>
        <v>0</v>
      </c>
      <c r="G234" s="2493">
        <f t="shared" si="46"/>
        <v>0</v>
      </c>
      <c r="H234" s="2494">
        <f t="shared" si="46"/>
        <v>0</v>
      </c>
      <c r="I234" s="2492">
        <f t="shared" si="46"/>
        <v>0</v>
      </c>
      <c r="J234" s="2495">
        <f t="shared" si="46"/>
        <v>0</v>
      </c>
      <c r="K234" s="2496">
        <f t="shared" si="46"/>
        <v>0</v>
      </c>
      <c r="L234" s="2492">
        <f t="shared" si="46"/>
        <v>0</v>
      </c>
      <c r="M234" s="2493">
        <f t="shared" si="46"/>
        <v>0</v>
      </c>
    </row>
    <row r="235" spans="1:13" ht="11.25" customHeight="1" x14ac:dyDescent="0.25">
      <c r="A235" s="2407"/>
      <c r="B235" s="2391"/>
      <c r="C235" s="2404" t="s">
        <v>1319</v>
      </c>
      <c r="D235" s="2424"/>
      <c r="E235" s="2501">
        <f>E230+E234</f>
        <v>5000000</v>
      </c>
      <c r="F235" s="2497">
        <f t="shared" ref="F235:M235" si="47">F230+F234</f>
        <v>0</v>
      </c>
      <c r="G235" s="2498">
        <f t="shared" si="47"/>
        <v>0</v>
      </c>
      <c r="H235" s="2499">
        <f t="shared" si="47"/>
        <v>0</v>
      </c>
      <c r="I235" s="2497">
        <f t="shared" si="47"/>
        <v>0</v>
      </c>
      <c r="J235" s="2500">
        <f t="shared" si="47"/>
        <v>0</v>
      </c>
      <c r="K235" s="2501">
        <f t="shared" si="47"/>
        <v>0</v>
      </c>
      <c r="L235" s="2497">
        <f t="shared" si="47"/>
        <v>0</v>
      </c>
      <c r="M235" s="2498">
        <f t="shared" si="47"/>
        <v>0</v>
      </c>
    </row>
    <row r="236" spans="1:13" ht="11.25" customHeight="1" x14ac:dyDescent="0.25">
      <c r="A236" s="2406" t="s">
        <v>2076</v>
      </c>
      <c r="B236" s="2391"/>
      <c r="C236" s="2400" t="s">
        <v>688</v>
      </c>
      <c r="D236" s="2424"/>
      <c r="E236" s="2506"/>
      <c r="F236" s="2502"/>
      <c r="G236" s="2505"/>
      <c r="H236" s="2504"/>
      <c r="I236" s="2502"/>
      <c r="J236" s="2505"/>
      <c r="K236" s="2506"/>
      <c r="L236" s="2502"/>
      <c r="M236" s="2503"/>
    </row>
    <row r="237" spans="1:13" ht="11.25" customHeight="1" x14ac:dyDescent="0.25">
      <c r="A237" s="1644"/>
      <c r="B237" s="2391"/>
      <c r="C237" s="2401" t="s">
        <v>740</v>
      </c>
      <c r="D237" s="2424"/>
      <c r="E237" s="1670"/>
      <c r="F237" s="1665">
        <v>12000</v>
      </c>
      <c r="G237" s="1666"/>
      <c r="H237" s="2507"/>
      <c r="I237" s="1665"/>
      <c r="J237" s="2508"/>
      <c r="K237" s="1670"/>
      <c r="L237" s="1665"/>
      <c r="M237" s="1666"/>
    </row>
    <row r="238" spans="1:13" ht="11.25" customHeight="1" x14ac:dyDescent="0.25">
      <c r="A238" s="1644"/>
      <c r="B238" s="2391"/>
      <c r="C238" s="2403" t="s">
        <v>375</v>
      </c>
      <c r="D238" s="2424"/>
      <c r="E238" s="2506">
        <f>SUM(E237)</f>
        <v>0</v>
      </c>
      <c r="F238" s="2502">
        <f t="shared" ref="F238:M238" si="48">SUM(F237)</f>
        <v>12000</v>
      </c>
      <c r="G238" s="2503">
        <f t="shared" si="48"/>
        <v>0</v>
      </c>
      <c r="H238" s="2504">
        <f t="shared" si="48"/>
        <v>0</v>
      </c>
      <c r="I238" s="2502">
        <f t="shared" si="48"/>
        <v>0</v>
      </c>
      <c r="J238" s="2505">
        <f t="shared" si="48"/>
        <v>0</v>
      </c>
      <c r="K238" s="2506">
        <f t="shared" si="48"/>
        <v>0</v>
      </c>
      <c r="L238" s="2502">
        <f t="shared" si="48"/>
        <v>0</v>
      </c>
      <c r="M238" s="2503">
        <f t="shared" si="48"/>
        <v>0</v>
      </c>
    </row>
    <row r="239" spans="1:13" ht="11.25" customHeight="1" x14ac:dyDescent="0.25">
      <c r="A239" s="1644"/>
      <c r="B239" s="2391"/>
      <c r="C239" s="2401" t="s">
        <v>689</v>
      </c>
      <c r="D239" s="2424"/>
      <c r="E239" s="1660"/>
      <c r="F239" s="1656"/>
      <c r="G239" s="1657"/>
      <c r="H239" s="2486"/>
      <c r="I239" s="1656"/>
      <c r="J239" s="1659"/>
      <c r="K239" s="1660"/>
      <c r="L239" s="1656"/>
      <c r="M239" s="1657"/>
    </row>
    <row r="240" spans="1:13" ht="11.25" customHeight="1" x14ac:dyDescent="0.25">
      <c r="A240" s="1644"/>
      <c r="B240" s="2391"/>
      <c r="C240" s="2401" t="s">
        <v>690</v>
      </c>
      <c r="D240" s="2424"/>
      <c r="E240" s="1660"/>
      <c r="F240" s="1656"/>
      <c r="G240" s="1657"/>
      <c r="H240" s="2486"/>
      <c r="I240" s="1656"/>
      <c r="J240" s="1659"/>
      <c r="K240" s="1660"/>
      <c r="L240" s="1656"/>
      <c r="M240" s="1657"/>
    </row>
    <row r="241" spans="1:13" ht="11.25" customHeight="1" x14ac:dyDescent="0.25">
      <c r="A241" s="1644"/>
      <c r="B241" s="2391"/>
      <c r="C241" s="2401" t="s">
        <v>878</v>
      </c>
      <c r="D241" s="2424"/>
      <c r="E241" s="1660"/>
      <c r="F241" s="1656"/>
      <c r="G241" s="1657"/>
      <c r="H241" s="2486"/>
      <c r="I241" s="1656"/>
      <c r="J241" s="1659"/>
      <c r="K241" s="1660"/>
      <c r="L241" s="1656"/>
      <c r="M241" s="1657"/>
    </row>
    <row r="242" spans="1:13" ht="11.25" customHeight="1" x14ac:dyDescent="0.25">
      <c r="A242" s="1644"/>
      <c r="B242" s="2391"/>
      <c r="C242" s="2401" t="s">
        <v>879</v>
      </c>
      <c r="D242" s="2424"/>
      <c r="E242" s="1660"/>
      <c r="F242" s="1656"/>
      <c r="G242" s="1657"/>
      <c r="H242" s="2486"/>
      <c r="I242" s="1656"/>
      <c r="J242" s="1659"/>
      <c r="K242" s="1660"/>
      <c r="L242" s="1656"/>
      <c r="M242" s="1657"/>
    </row>
    <row r="243" spans="1:13" ht="11.25" customHeight="1" x14ac:dyDescent="0.25">
      <c r="A243" s="1644"/>
      <c r="B243" s="2391"/>
      <c r="C243" s="2401" t="s">
        <v>198</v>
      </c>
      <c r="D243" s="2424"/>
      <c r="E243" s="1660"/>
      <c r="F243" s="1656"/>
      <c r="G243" s="1657"/>
      <c r="H243" s="2486"/>
      <c r="I243" s="1656"/>
      <c r="J243" s="1659"/>
      <c r="K243" s="1660"/>
      <c r="L243" s="1656"/>
      <c r="M243" s="1657"/>
    </row>
    <row r="244" spans="1:13" ht="11.25" customHeight="1" x14ac:dyDescent="0.25">
      <c r="A244" s="1644"/>
      <c r="B244" s="2391"/>
      <c r="C244" s="2403" t="s">
        <v>1281</v>
      </c>
      <c r="D244" s="2424"/>
      <c r="E244" s="2496">
        <f t="shared" ref="E244:M244" si="49">SUM(E239:E243)</f>
        <v>0</v>
      </c>
      <c r="F244" s="2492">
        <f t="shared" si="49"/>
        <v>0</v>
      </c>
      <c r="G244" s="2493">
        <f t="shared" si="49"/>
        <v>0</v>
      </c>
      <c r="H244" s="2494">
        <f t="shared" si="49"/>
        <v>0</v>
      </c>
      <c r="I244" s="2492">
        <f t="shared" si="49"/>
        <v>0</v>
      </c>
      <c r="J244" s="2495">
        <f t="shared" si="49"/>
        <v>0</v>
      </c>
      <c r="K244" s="2496">
        <f t="shared" si="49"/>
        <v>0</v>
      </c>
      <c r="L244" s="2492">
        <f t="shared" si="49"/>
        <v>0</v>
      </c>
      <c r="M244" s="2493">
        <f t="shared" si="49"/>
        <v>0</v>
      </c>
    </row>
    <row r="245" spans="1:13" ht="11.25" customHeight="1" x14ac:dyDescent="0.25">
      <c r="B245" s="2391"/>
      <c r="C245" s="2404" t="s">
        <v>1319</v>
      </c>
      <c r="D245" s="2424"/>
      <c r="E245" s="2501">
        <f>E238+E244</f>
        <v>0</v>
      </c>
      <c r="F245" s="2497">
        <f t="shared" ref="F245:M245" si="50">F238+F244</f>
        <v>12000</v>
      </c>
      <c r="G245" s="2498">
        <f t="shared" si="50"/>
        <v>0</v>
      </c>
      <c r="H245" s="2499">
        <f t="shared" si="50"/>
        <v>0</v>
      </c>
      <c r="I245" s="2497">
        <f t="shared" si="50"/>
        <v>0</v>
      </c>
      <c r="J245" s="2500">
        <f t="shared" si="50"/>
        <v>0</v>
      </c>
      <c r="K245" s="2501">
        <f t="shared" si="50"/>
        <v>0</v>
      </c>
      <c r="L245" s="2497">
        <f t="shared" si="50"/>
        <v>0</v>
      </c>
      <c r="M245" s="2498">
        <f t="shared" si="50"/>
        <v>0</v>
      </c>
    </row>
    <row r="246" spans="1:13" ht="5.0999999999999996" customHeight="1" x14ac:dyDescent="0.25">
      <c r="A246" s="1580"/>
      <c r="B246" s="2386"/>
      <c r="C246" s="2408"/>
      <c r="D246" s="2426"/>
      <c r="E246" s="2409"/>
      <c r="F246" s="2410"/>
      <c r="G246" s="2411"/>
      <c r="H246" s="2412"/>
      <c r="I246" s="2410"/>
      <c r="J246" s="2413"/>
      <c r="K246" s="2409"/>
      <c r="L246" s="2410"/>
      <c r="M246" s="2411"/>
    </row>
    <row r="247" spans="1:13" ht="11.25" customHeight="1" x14ac:dyDescent="0.25">
      <c r="B247" s="247"/>
    </row>
    <row r="248" spans="1:13" ht="11.25" customHeight="1" x14ac:dyDescent="0.25">
      <c r="A248" s="1153" t="str">
        <f>head27a</f>
        <v>References</v>
      </c>
      <c r="B248" s="2414"/>
      <c r="C248" s="708"/>
      <c r="D248" s="708"/>
      <c r="E248" s="708"/>
      <c r="F248" s="708"/>
      <c r="G248" s="708"/>
      <c r="H248" s="708"/>
      <c r="I248" s="708"/>
      <c r="J248" s="708"/>
      <c r="K248" s="708"/>
      <c r="L248" s="708"/>
      <c r="M248" s="708"/>
    </row>
    <row r="249" spans="1:13" ht="11.25" customHeight="1" x14ac:dyDescent="0.25">
      <c r="A249" s="460" t="s">
        <v>2177</v>
      </c>
      <c r="B249" s="800"/>
      <c r="C249" s="708"/>
      <c r="D249" s="708"/>
      <c r="E249" s="708"/>
      <c r="F249" s="708"/>
      <c r="G249" s="708"/>
      <c r="H249" s="708"/>
      <c r="I249" s="708"/>
      <c r="J249" s="708"/>
      <c r="K249" s="708"/>
      <c r="L249" s="708"/>
      <c r="M249" s="708"/>
    </row>
    <row r="250" spans="1:13" ht="11.25" customHeight="1" x14ac:dyDescent="0.25">
      <c r="A250" s="460" t="s">
        <v>618</v>
      </c>
      <c r="B250" s="800"/>
      <c r="C250" s="708"/>
      <c r="D250" s="708"/>
      <c r="E250" s="708"/>
      <c r="F250" s="708"/>
      <c r="G250" s="708"/>
      <c r="H250" s="708"/>
      <c r="I250" s="708"/>
      <c r="J250" s="708"/>
      <c r="K250" s="708"/>
      <c r="L250" s="708"/>
      <c r="M250" s="708"/>
    </row>
    <row r="251" spans="1:13" ht="11.25" customHeight="1" x14ac:dyDescent="0.25">
      <c r="A251" s="460" t="s">
        <v>619</v>
      </c>
      <c r="B251" s="800"/>
      <c r="C251" s="708"/>
      <c r="D251" s="708"/>
      <c r="E251" s="708"/>
      <c r="F251" s="708"/>
      <c r="G251" s="708"/>
      <c r="H251" s="708"/>
      <c r="I251" s="708"/>
      <c r="J251" s="708"/>
      <c r="K251" s="708"/>
      <c r="L251" s="708"/>
      <c r="M251" s="708"/>
    </row>
    <row r="252" spans="1:13" ht="11.25" customHeight="1" x14ac:dyDescent="0.25">
      <c r="A252" s="460" t="s">
        <v>620</v>
      </c>
      <c r="B252" s="800"/>
      <c r="C252" s="708"/>
      <c r="D252" s="708"/>
      <c r="E252" s="708"/>
      <c r="F252" s="708"/>
      <c r="G252" s="708"/>
      <c r="H252" s="708"/>
      <c r="I252" s="708"/>
      <c r="J252" s="708"/>
      <c r="K252" s="708"/>
      <c r="L252" s="708"/>
      <c r="M252" s="708"/>
    </row>
    <row r="253" spans="1:13" ht="11.25" customHeight="1" x14ac:dyDescent="0.25">
      <c r="A253" s="460" t="s">
        <v>621</v>
      </c>
      <c r="B253" s="800"/>
      <c r="C253" s="708"/>
      <c r="D253" s="708"/>
      <c r="E253" s="708"/>
      <c r="F253" s="708"/>
      <c r="G253" s="708"/>
      <c r="H253" s="708"/>
      <c r="I253" s="708"/>
      <c r="J253" s="708"/>
      <c r="K253" s="708"/>
      <c r="L253" s="708"/>
      <c r="M253" s="708"/>
    </row>
    <row r="254" spans="1:13" ht="11.25" customHeight="1" x14ac:dyDescent="0.25">
      <c r="A254" s="1411" t="s">
        <v>1588</v>
      </c>
      <c r="B254" s="2414"/>
    </row>
    <row r="255" spans="1:13" ht="11.25" customHeight="1" x14ac:dyDescent="0.25">
      <c r="A255" s="1411" t="s">
        <v>1589</v>
      </c>
      <c r="B255" s="2414"/>
      <c r="G255" s="309"/>
      <c r="H255" s="309"/>
      <c r="I255" s="309"/>
      <c r="J255" s="309"/>
      <c r="K255" s="309"/>
      <c r="L255" s="309"/>
      <c r="M255" s="309"/>
    </row>
    <row r="256" spans="1:13" ht="11.25" customHeight="1" x14ac:dyDescent="0.25">
      <c r="A256" s="1154" t="s">
        <v>2077</v>
      </c>
      <c r="B256" s="247"/>
      <c r="G256" s="309"/>
      <c r="H256" s="309"/>
      <c r="I256" s="309"/>
      <c r="J256" s="309"/>
      <c r="K256" s="309"/>
      <c r="L256" s="309"/>
      <c r="M256" s="309"/>
    </row>
    <row r="257" spans="1:13" ht="11.25" customHeight="1" x14ac:dyDescent="0.25">
      <c r="A257" s="1154" t="s">
        <v>2078</v>
      </c>
      <c r="B257" s="247"/>
      <c r="G257" s="309"/>
      <c r="H257" s="309"/>
      <c r="I257" s="309"/>
      <c r="J257" s="309"/>
      <c r="K257" s="309"/>
      <c r="L257" s="309"/>
      <c r="M257" s="309"/>
    </row>
    <row r="258" spans="1:13" ht="11.25" customHeight="1" x14ac:dyDescent="0.25">
      <c r="A258" s="1154" t="s">
        <v>2079</v>
      </c>
      <c r="B258" s="247"/>
    </row>
    <row r="259" spans="1:13" ht="11.25" customHeight="1" x14ac:dyDescent="0.25">
      <c r="A259" s="1154" t="s">
        <v>2080</v>
      </c>
      <c r="B259" s="800"/>
      <c r="C259" s="460"/>
    </row>
    <row r="260" spans="1:13" ht="11.25" customHeight="1" x14ac:dyDescent="0.25">
      <c r="A260" s="460" t="s">
        <v>2176</v>
      </c>
      <c r="B260" s="800"/>
      <c r="C260" s="460"/>
    </row>
    <row r="261" spans="1:13" ht="11.25" customHeight="1" x14ac:dyDescent="0.25">
      <c r="A261" s="2457" t="s">
        <v>2191</v>
      </c>
      <c r="B261" s="800"/>
      <c r="C261" s="460"/>
    </row>
  </sheetData>
  <sheetProtection sheet="1" objects="1" scenarios="1"/>
  <customSheetViews>
    <customSheetView guid="{F50C5479-5CC4-4FD7-8319-543D29E829F0}" showGridLines="0" fitToPage="1">
      <selection activeCell="I99" sqref="I99"/>
      <pageMargins left="0.37" right="0" top="0.6" bottom="0.4" header="0.51181102362204722" footer="0.39370078740157483"/>
      <printOptions horizontalCentered="1"/>
      <pageSetup paperSize="9" scale="65" orientation="landscape" r:id="rId1"/>
      <headerFooter alignWithMargins="0"/>
    </customSheetView>
  </customSheetViews>
  <mergeCells count="19">
    <mergeCell ref="A155:A156"/>
    <mergeCell ref="H155:J155"/>
    <mergeCell ref="K155:M155"/>
    <mergeCell ref="A201:A202"/>
    <mergeCell ref="H201:J201"/>
    <mergeCell ref="K201:M201"/>
    <mergeCell ref="A63:A64"/>
    <mergeCell ref="H63:J63"/>
    <mergeCell ref="K63:M63"/>
    <mergeCell ref="A109:A110"/>
    <mergeCell ref="H109:J109"/>
    <mergeCell ref="K109:M109"/>
    <mergeCell ref="K2:M2"/>
    <mergeCell ref="A2:A3"/>
    <mergeCell ref="B2:B3"/>
    <mergeCell ref="C2:C3"/>
    <mergeCell ref="D2:D3"/>
    <mergeCell ref="E2:E3"/>
    <mergeCell ref="F2:F3"/>
  </mergeCells>
  <phoneticPr fontId="2"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7" right="0" top="0.6" bottom="0.4" header="0.51181102362204722" footer="0.39370078740157483"/>
  <pageSetup paperSize="9" scale="65"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2"/>
  </sheetPr>
  <dimension ref="A1:R138"/>
  <sheetViews>
    <sheetView showGridLines="0" tabSelected="1" zoomScaleNormal="100" workbookViewId="0">
      <pane xSplit="3" ySplit="3" topLeftCell="D118" activePane="bottomRight" state="frozen"/>
      <selection activeCell="F35" sqref="F35"/>
      <selection pane="topRight" activeCell="F35" sqref="F35"/>
      <selection pane="bottomLeft" activeCell="F35" sqref="F35"/>
      <selection pane="bottomRight" activeCell="L133" sqref="L133"/>
    </sheetView>
  </sheetViews>
  <sheetFormatPr defaultRowHeight="12.75" x14ac:dyDescent="0.25"/>
  <cols>
    <col min="1" max="1" width="38.7109375" style="149" customWidth="1"/>
    <col min="2" max="2" width="6.7109375" style="247" bestFit="1" customWidth="1"/>
    <col min="3" max="3" width="3" style="247" customWidth="1"/>
    <col min="4" max="5" width="9" style="247" customWidth="1"/>
    <col min="6" max="9" width="9" style="149" customWidth="1"/>
    <col min="10" max="10" width="8.7109375" style="149" customWidth="1"/>
    <col min="11" max="13" width="9" style="149" customWidth="1"/>
    <col min="14" max="14" width="9.5703125" style="149" customWidth="1"/>
    <col min="15" max="15" width="10.140625" style="149" bestFit="1" customWidth="1"/>
    <col min="16" max="16" width="9.5703125" style="149" bestFit="1" customWidth="1"/>
    <col min="17" max="16384" width="9.140625" style="149"/>
  </cols>
  <sheetData>
    <row r="1" spans="1:15" s="179" customFormat="1" ht="13.5" customHeight="1" x14ac:dyDescent="0.2">
      <c r="A1" s="147" t="str">
        <f>muni &amp;" " &amp; TableA10</f>
        <v>MP315 Thembisile Hani Supporting Table SA10 Funding measurement</v>
      </c>
      <c r="B1" s="147"/>
      <c r="C1" s="147"/>
      <c r="D1" s="147"/>
      <c r="E1" s="147"/>
      <c r="F1" s="147"/>
      <c r="G1" s="147"/>
      <c r="H1" s="147"/>
      <c r="I1" s="147"/>
      <c r="J1" s="147"/>
      <c r="K1" s="147"/>
      <c r="L1" s="147"/>
      <c r="M1" s="147"/>
    </row>
    <row r="2" spans="1:15" ht="28.5" customHeight="1" x14ac:dyDescent="0.25">
      <c r="A2" s="2802" t="str">
        <f>desc</f>
        <v>Description</v>
      </c>
      <c r="B2" s="2818" t="s">
        <v>432</v>
      </c>
      <c r="C2" s="2820" t="str">
        <f>head27</f>
        <v>Ref</v>
      </c>
      <c r="D2" s="150" t="str">
        <f>head1b</f>
        <v>2011/12</v>
      </c>
      <c r="E2" s="150" t="str">
        <f>head1A</f>
        <v>2012/13</v>
      </c>
      <c r="F2" s="146" t="str">
        <f>Head1</f>
        <v>2013/14</v>
      </c>
      <c r="G2" s="2766" t="str">
        <f>Head2</f>
        <v>Current Year 2014/15</v>
      </c>
      <c r="H2" s="2767"/>
      <c r="I2" s="2767"/>
      <c r="J2" s="2767"/>
      <c r="K2" s="2763" t="str">
        <f>Head3</f>
        <v>2015/16 Medium Term Revenue &amp; Expenditure Framework</v>
      </c>
      <c r="L2" s="2764"/>
      <c r="M2" s="2765"/>
    </row>
    <row r="3" spans="1:15" ht="25.5" x14ac:dyDescent="0.25">
      <c r="A3" s="2803"/>
      <c r="B3" s="2819"/>
      <c r="C3" s="2821"/>
      <c r="D3" s="389" t="str">
        <f>Head5</f>
        <v>Audited Outcome</v>
      </c>
      <c r="E3" s="389" t="str">
        <f>Head5</f>
        <v>Audited Outcome</v>
      </c>
      <c r="F3" s="390" t="str">
        <f>Head5</f>
        <v>Audited Outcome</v>
      </c>
      <c r="G3" s="299" t="str">
        <f>Head6</f>
        <v>Original Budget</v>
      </c>
      <c r="H3" s="923" t="str">
        <f>Head7</f>
        <v>Adjusted Budget</v>
      </c>
      <c r="I3" s="2479" t="str">
        <f>Head8</f>
        <v>Full Year Forecast</v>
      </c>
      <c r="J3" s="2224" t="str">
        <f>Head5b</f>
        <v>Pre-audit outcome</v>
      </c>
      <c r="K3" s="299" t="str">
        <f>Head9</f>
        <v>Budget Year 2015/16</v>
      </c>
      <c r="L3" s="389" t="str">
        <f>Head10</f>
        <v>Budget Year +1 2016/17</v>
      </c>
      <c r="M3" s="390" t="str">
        <f>Head11</f>
        <v>Budget Year +2 2017/18</v>
      </c>
    </row>
    <row r="4" spans="1:15" x14ac:dyDescent="0.25">
      <c r="A4" s="181" t="s">
        <v>1714</v>
      </c>
      <c r="B4" s="551"/>
      <c r="C4" s="552"/>
      <c r="D4" s="967"/>
      <c r="E4" s="553"/>
      <c r="F4" s="554"/>
      <c r="G4" s="201"/>
      <c r="H4" s="553"/>
      <c r="I4" s="554"/>
      <c r="J4" s="246"/>
      <c r="K4" s="555"/>
      <c r="L4" s="553"/>
      <c r="M4" s="554"/>
    </row>
    <row r="5" spans="1:15" x14ac:dyDescent="0.25">
      <c r="A5" s="190" t="str">
        <f>LEFT('A7-CFlow'!A40,37)&amp;" - R'000"</f>
        <v>Cash/cash equivalents at the year end - R'000</v>
      </c>
      <c r="B5" s="556" t="s">
        <v>1313</v>
      </c>
      <c r="C5" s="293">
        <v>1</v>
      </c>
      <c r="D5" s="207">
        <f>'A7-CFlow'!C40</f>
        <v>72681576</v>
      </c>
      <c r="E5" s="557">
        <f>'A7-CFlow'!D40</f>
        <v>3189252</v>
      </c>
      <c r="F5" s="558">
        <f>'A7-CFlow'!E40</f>
        <v>41211431</v>
      </c>
      <c r="G5" s="251">
        <f>'A7-CFlow'!F40</f>
        <v>30552867.577744007</v>
      </c>
      <c r="H5" s="557">
        <f>'A7-CFlow'!G40</f>
        <v>-163572295.76999995</v>
      </c>
      <c r="I5" s="558">
        <f>'A7-CFlow'!H40</f>
        <v>-163572295.76999995</v>
      </c>
      <c r="J5" s="210">
        <f>'A7-CFlow'!I40</f>
        <v>79043594</v>
      </c>
      <c r="K5" s="211">
        <f>'A7-CFlow'!J40</f>
        <v>99999.77999997139</v>
      </c>
      <c r="L5" s="557">
        <f>'A7-CFlow'!K40</f>
        <v>565356.08701999485</v>
      </c>
      <c r="M5" s="558">
        <f>'A7-CFlow'!L40</f>
        <v>1424985.7095080763</v>
      </c>
    </row>
    <row r="6" spans="1:15" x14ac:dyDescent="0.25">
      <c r="A6" s="190" t="s">
        <v>1385</v>
      </c>
      <c r="B6" s="556" t="s">
        <v>1313</v>
      </c>
      <c r="C6" s="293">
        <v>2</v>
      </c>
      <c r="D6" s="207">
        <f>'A8-ResRecon'!C8-'A8-ResRecon'!C18</f>
        <v>26958000</v>
      </c>
      <c r="E6" s="557">
        <f>'A8-ResRecon'!D8-'A8-ResRecon'!D18</f>
        <v>-52817701</v>
      </c>
      <c r="F6" s="558">
        <f>'A8-ResRecon'!E8-'A8-ResRecon'!E18</f>
        <v>-99926889</v>
      </c>
      <c r="G6" s="251">
        <f>'A8-ResRecon'!F8-'A8-ResRecon'!F18</f>
        <v>21490723.829999983</v>
      </c>
      <c r="H6" s="557">
        <f>'A8-ResRecon'!G8-'A8-ResRecon'!G18</f>
        <v>-181464296.17000002</v>
      </c>
      <c r="I6" s="558">
        <f>'A8-ResRecon'!H8-'A8-ResRecon'!H18</f>
        <v>-181464296.17000002</v>
      </c>
      <c r="J6" s="210">
        <f>'A8-ResRecon'!I8-'A8-ResRecon'!I18</f>
        <v>225933632</v>
      </c>
      <c r="K6" s="211">
        <f>'A8-ResRecon'!J8-'A8-ResRecon'!J18</f>
        <v>7471986.4299999718</v>
      </c>
      <c r="L6" s="557">
        <f>'A8-ResRecon'!K8-'A8-ResRecon'!K18</f>
        <v>7912556.6293699695</v>
      </c>
      <c r="M6" s="558">
        <f>'A8-ResRecon'!L8-'A8-ResRecon'!L18</f>
        <v>8355883.8006146876</v>
      </c>
    </row>
    <row r="7" spans="1:15" x14ac:dyDescent="0.25">
      <c r="A7" s="190" t="s">
        <v>284</v>
      </c>
      <c r="B7" s="556" t="s">
        <v>1313</v>
      </c>
      <c r="C7" s="293">
        <v>3</v>
      </c>
      <c r="D7" s="968">
        <f>IF(ISERROR('SA8'!C39),0,('SA8'!C39))</f>
        <v>4.0149530150846955</v>
      </c>
      <c r="E7" s="560">
        <f>IF(ISERROR('SA8'!D39),0,('SA8'!D39))</f>
        <v>0.22046553598043853</v>
      </c>
      <c r="F7" s="561">
        <f>IF(ISERROR('SA8'!E39),0,('SA8'!E39))</f>
        <v>1.1502477588623277</v>
      </c>
      <c r="G7" s="562">
        <f>IF(ISERROR('SA8'!F39),0,('SA8'!F39))</f>
        <v>1.1151940541293328</v>
      </c>
      <c r="H7" s="560">
        <f>IF(ISERROR('SA8'!G39),0,('SA8'!G39))</f>
        <v>-6.9240223427525258</v>
      </c>
      <c r="I7" s="561">
        <f>IF(ISERROR('SA8'!H39),0,('SA8'!H39))</f>
        <v>-6.9240223427525258</v>
      </c>
      <c r="J7" s="559">
        <f>IF(ISERROR('SA8'!I39),0,('SA8'!I39))</f>
        <v>6.3249452908606587</v>
      </c>
      <c r="K7" s="563">
        <f>IF(ISERROR('SA8'!J39),0,('SA8'!J39))</f>
        <v>3.067240996087006E-3</v>
      </c>
      <c r="L7" s="560">
        <f>IF(ISERROR('SA8'!K39),0,('SA8'!K39))</f>
        <v>1.6374760930003385E-2</v>
      </c>
      <c r="M7" s="561">
        <f>IF(ISERROR('SA8'!L39),0,('SA8'!L39))</f>
        <v>3.9084043361803197E-2</v>
      </c>
    </row>
    <row r="8" spans="1:15" x14ac:dyDescent="0.25">
      <c r="A8" s="190" t="s">
        <v>1255</v>
      </c>
      <c r="B8" s="556" t="s">
        <v>1314</v>
      </c>
      <c r="C8" s="293">
        <v>4</v>
      </c>
      <c r="D8" s="207">
        <f>'A4-FinPerf RE'!C42+'SA3'!C60</f>
        <v>14225858</v>
      </c>
      <c r="E8" s="557">
        <f>'A4-FinPerf RE'!D42+'SA3'!D60</f>
        <v>30489701</v>
      </c>
      <c r="F8" s="558">
        <f>'A4-FinPerf RE'!E42+'SA3'!E60</f>
        <v>-132346446.52999997</v>
      </c>
      <c r="G8" s="251">
        <f>'A4-FinPerf RE'!F42+'SA3'!F60</f>
        <v>-68443590.786256015</v>
      </c>
      <c r="H8" s="557">
        <f>'A4-FinPerf RE'!G42+'SA3'!G60</f>
        <v>141053425.84374395</v>
      </c>
      <c r="I8" s="558">
        <f>'A4-FinPerf RE'!H42+'SA3'!H60</f>
        <v>141053425.84374395</v>
      </c>
      <c r="J8" s="210">
        <f>'A4-FinPerf RE'!I42+'SA3'!I60</f>
        <v>96357589.340000004</v>
      </c>
      <c r="K8" s="211">
        <f>'A4-FinPerf RE'!J42+'SA3'!J60</f>
        <v>-20867501.849999905</v>
      </c>
      <c r="L8" s="557">
        <f>'A4-FinPerf RE'!K42+'SA3'!K60</f>
        <v>-22098684.459150016</v>
      </c>
      <c r="M8" s="558">
        <f>'A4-FinPerf RE'!L42+'SA3'!L60</f>
        <v>-23336210.788862467</v>
      </c>
    </row>
    <row r="9" spans="1:15" x14ac:dyDescent="0.25">
      <c r="A9" s="325" t="s">
        <v>1574</v>
      </c>
      <c r="B9" s="564" t="s">
        <v>1311</v>
      </c>
      <c r="C9" s="294">
        <v>5</v>
      </c>
      <c r="D9" s="621" t="s">
        <v>1433</v>
      </c>
      <c r="E9" s="565">
        <f>IF(ISERROR(E36-E61),0,(E36-E61))</f>
        <v>-0.17850381907227536</v>
      </c>
      <c r="F9" s="566">
        <f t="shared" ref="F9:M9" si="0">IF(ISERROR(F36-F61),0,(F36-F61))</f>
        <v>0.54314123644620316</v>
      </c>
      <c r="G9" s="569">
        <f t="shared" si="0"/>
        <v>-0.26971935704988254</v>
      </c>
      <c r="H9" s="568">
        <f t="shared" si="0"/>
        <v>0.41854990756283966</v>
      </c>
      <c r="I9" s="566">
        <f t="shared" si="0"/>
        <v>-0.06</v>
      </c>
      <c r="J9" s="569">
        <f t="shared" si="0"/>
        <v>-0.5426773544370096</v>
      </c>
      <c r="K9" s="570">
        <f>IF(ISERROR(K36-K61),0,(K36-K61))</f>
        <v>0.47805349186023088</v>
      </c>
      <c r="L9" s="568">
        <f t="shared" si="0"/>
        <v>-9.9999999999983435E-4</v>
      </c>
      <c r="M9" s="566">
        <f t="shared" si="0"/>
        <v>-3.999999999999948E-3</v>
      </c>
    </row>
    <row r="10" spans="1:15" x14ac:dyDescent="0.25">
      <c r="A10" s="325" t="s">
        <v>102</v>
      </c>
      <c r="B10" s="564" t="s">
        <v>1311</v>
      </c>
      <c r="C10" s="294">
        <v>6</v>
      </c>
      <c r="D10" s="622">
        <f>IF(ISERROR(D53/D54),0,(D53/D54))</f>
        <v>0.7415978594918099</v>
      </c>
      <c r="E10" s="568">
        <f t="shared" ref="E10:M10" si="1">IF(ISERROR(E53/E54),0,(E53/E54))</f>
        <v>0.16969381448806115</v>
      </c>
      <c r="F10" s="566">
        <f t="shared" si="1"/>
        <v>1.5943923025864746</v>
      </c>
      <c r="G10" s="569">
        <f t="shared" si="1"/>
        <v>0.13754505253632618</v>
      </c>
      <c r="H10" s="568">
        <f t="shared" si="1"/>
        <v>9.2462899628684564E-2</v>
      </c>
      <c r="I10" s="566">
        <f t="shared" si="1"/>
        <v>9.2462899628684564E-2</v>
      </c>
      <c r="J10" s="569">
        <f t="shared" si="1"/>
        <v>0.65011841771766932</v>
      </c>
      <c r="K10" s="570">
        <f t="shared" si="1"/>
        <v>0.4421711510399004</v>
      </c>
      <c r="L10" s="568">
        <f t="shared" si="1"/>
        <v>0.4421711510399004</v>
      </c>
      <c r="M10" s="566">
        <f t="shared" si="1"/>
        <v>0.44217115103990029</v>
      </c>
    </row>
    <row r="11" spans="1:15" x14ac:dyDescent="0.25">
      <c r="A11" s="325" t="s">
        <v>174</v>
      </c>
      <c r="B11" s="564" t="s">
        <v>1311</v>
      </c>
      <c r="C11" s="294">
        <v>7</v>
      </c>
      <c r="D11" s="622">
        <f>IF(ISERROR('A4-FinPerf RE'!C27/'SA10'!D43),0,('A4-FinPerf RE'!C27/'SA10'!D43))</f>
        <v>0.97191618288587722</v>
      </c>
      <c r="E11" s="568">
        <f>IF(ISERROR('A4-FinPerf RE'!D27/'SA10'!E43),0,('A4-FinPerf RE'!D27/'SA10'!E43))</f>
        <v>0</v>
      </c>
      <c r="F11" s="566">
        <f>IF(ISERROR('A4-FinPerf RE'!E27/'SA10'!F43),0,('A4-FinPerf RE'!E27/'SA10'!F43))</f>
        <v>2.267090804255401</v>
      </c>
      <c r="G11" s="569">
        <f>IF(ISERROR('A4-FinPerf RE'!F27/'SA10'!G43),0,('A4-FinPerf RE'!F27/'SA10'!G43))</f>
        <v>1.0914147655611783</v>
      </c>
      <c r="H11" s="568">
        <f>IF(ISERROR('A4-FinPerf RE'!G27/'SA10'!H43),0,('A4-FinPerf RE'!G27/'SA10'!H43))</f>
        <v>0.73816565810768353</v>
      </c>
      <c r="I11" s="566">
        <f>IF(ISERROR('A4-FinPerf RE'!H27/'SA10'!I43),0,('A4-FinPerf RE'!H27/'SA10'!I43))</f>
        <v>0.73816565810768353</v>
      </c>
      <c r="J11" s="569">
        <f>IF(ISERROR('A4-FinPerf RE'!I27/'SA10'!J43),0,('A4-FinPerf RE'!I27/'SA10'!J43))</f>
        <v>0</v>
      </c>
      <c r="K11" s="570">
        <f>IF(ISERROR('A4-FinPerf RE'!J27/'SA10'!K43),0,('A4-FinPerf RE'!J27/'SA10'!K43))</f>
        <v>0.50297184551854435</v>
      </c>
      <c r="L11" s="568">
        <f>IF(ISERROR('A4-FinPerf RE'!K27/'SA10'!L43),0,('A4-FinPerf RE'!K27/'SA10'!L43))</f>
        <v>0.50297184551854424</v>
      </c>
      <c r="M11" s="566">
        <f>IF(ISERROR('A4-FinPerf RE'!L27/'SA10'!M43),0,('A4-FinPerf RE'!L27/'SA10'!M43))</f>
        <v>0.50297184551854435</v>
      </c>
    </row>
    <row r="12" spans="1:15" x14ac:dyDescent="0.25">
      <c r="A12" s="325" t="s">
        <v>1802</v>
      </c>
      <c r="B12" s="564" t="s">
        <v>1312</v>
      </c>
      <c r="C12" s="294">
        <v>8</v>
      </c>
      <c r="D12" s="622">
        <f>IF(ISERROR(-'A7-CFlow'!C26/'A5-Capex'!C40),0,(-'A7-CFlow'!C26/'A5-Capex'!C40))</f>
        <v>2.0297424720900237</v>
      </c>
      <c r="E12" s="622">
        <f>IF(ISERROR(-'A7-CFlow'!D26/'A5-Capex'!D40),0,(-'A7-CFlow'!D26/'A5-Capex'!D40))</f>
        <v>8.9996297777207133</v>
      </c>
      <c r="F12" s="566">
        <f>IF(ISERROR(-'A7-CFlow'!E26/'A5-Capex'!E40),0,(-'A7-CFlow'!E26/'A5-Capex'!E40))</f>
        <v>0.99999999999999989</v>
      </c>
      <c r="G12" s="1566">
        <f>IF(ISERROR(-'A7-CFlow'!F26/'A5-Capex'!F40),0,(-'A7-CFlow'!F26/'A5-Capex'!F40))</f>
        <v>1</v>
      </c>
      <c r="H12" s="622">
        <f>IF(ISERROR(-'A7-CFlow'!G26/'A5-Capex'!G40),0,(-'A7-CFlow'!G26/'A5-Capex'!G40))</f>
        <v>0.99999999999999978</v>
      </c>
      <c r="I12" s="566">
        <f>IF(ISERROR(-'A7-CFlow'!H26/'A5-Capex'!H40),0,(-'A7-CFlow'!H26/'A5-Capex'!H40))</f>
        <v>0.99999999999999978</v>
      </c>
      <c r="J12" s="583">
        <f>IF(ISERROR(-'A7-CFlow'!I26/'A5-Capex'!I40),0,(-'A7-CFlow'!I26/'A5-Capex'!I40))</f>
        <v>0.5905238090357503</v>
      </c>
      <c r="K12" s="1566">
        <f>IF(ISERROR(-'A7-CFlow'!J26/'A5-Capex'!J40),0,(-'A7-CFlow'!J26/'A5-Capex'!J40))</f>
        <v>1</v>
      </c>
      <c r="L12" s="622">
        <f>IF(ISERROR(-'A7-CFlow'!K26/'A5-Capex'!K40),0,(-'A7-CFlow'!K26/'A5-Capex'!K40))</f>
        <v>0.99622285174693082</v>
      </c>
      <c r="M12" s="566">
        <f>IF(ISERROR(-'A7-CFlow'!L26/'A5-Capex'!L40),0,(-'A7-CFlow'!L26/'A5-Capex'!L40))</f>
        <v>0.99339267319083113</v>
      </c>
    </row>
    <row r="13" spans="1:15" x14ac:dyDescent="0.25">
      <c r="A13" s="325" t="s">
        <v>13</v>
      </c>
      <c r="B13" s="564" t="s">
        <v>434</v>
      </c>
      <c r="C13" s="294">
        <v>9</v>
      </c>
      <c r="D13" s="622">
        <f>IF(ISERROR('A7-CFlow'!C32/'SA10'!D52),0,('A7-CFlow'!C32/'SA10'!D52))</f>
        <v>0</v>
      </c>
      <c r="E13" s="568">
        <f>IF(ISERROR('A7-CFlow'!D32/'SA10'!E52),0,('A7-CFlow'!D32/'SA10'!E52))</f>
        <v>0</v>
      </c>
      <c r="F13" s="566">
        <f>IF(ISERROR('A7-CFlow'!E32/'SA10'!F52),0,('A7-CFlow'!E32/'SA10'!F52))</f>
        <v>0</v>
      </c>
      <c r="G13" s="569">
        <f>IF(ISERROR('A7-CFlow'!F32/'SA10'!G52),0,('A7-CFlow'!F32/'SA10'!G52))</f>
        <v>0</v>
      </c>
      <c r="H13" s="568">
        <f>IF(ISERROR('A7-CFlow'!G32/'SA10'!H52),0,('A7-CFlow'!G32/'SA10'!H52))</f>
        <v>0</v>
      </c>
      <c r="I13" s="566">
        <f>IF(ISERROR('A7-CFlow'!H32/'SA10'!I52),0,('A7-CFlow'!H32/'SA10'!I52))</f>
        <v>0</v>
      </c>
      <c r="J13" s="569">
        <f>IF(ISERROR('A7-CFlow'!I32/'SA10'!J52),0,('A7-CFlow'!I32/'SA10'!J52))</f>
        <v>0</v>
      </c>
      <c r="K13" s="570">
        <f>IF(ISERROR('A7-CFlow'!J32/'SA10'!K52),0,('A7-CFlow'!J32/'SA10'!K52))</f>
        <v>0</v>
      </c>
      <c r="L13" s="568">
        <f>IF(ISERROR('A7-CFlow'!K32/'SA10'!L52),0,('A7-CFlow'!K32/'SA10'!L52))</f>
        <v>0</v>
      </c>
      <c r="M13" s="566">
        <f>IF(ISERROR('A7-CFlow'!L32/'SA10'!M52),0,('A7-CFlow'!L32/'SA10'!M52))</f>
        <v>0</v>
      </c>
    </row>
    <row r="14" spans="1:15" ht="14.25" customHeight="1" x14ac:dyDescent="0.25">
      <c r="A14" s="325" t="s">
        <v>713</v>
      </c>
      <c r="B14" s="564" t="s">
        <v>433</v>
      </c>
      <c r="C14" s="294">
        <v>10</v>
      </c>
      <c r="D14" s="2104"/>
      <c r="E14" s="2105"/>
      <c r="F14" s="2106"/>
      <c r="G14" s="2107"/>
      <c r="H14" s="2105"/>
      <c r="I14" s="2106"/>
      <c r="J14" s="2107"/>
      <c r="K14" s="570">
        <f>IF(ISERROR(K56/K68),0,(K56/K68))</f>
        <v>0</v>
      </c>
      <c r="L14" s="568">
        <f>IF(ISERROR(L56/L68),0,(L56/L68))</f>
        <v>0</v>
      </c>
      <c r="M14" s="566">
        <f>IF(ISERROR(M56/M68),0,(M56/M68))</f>
        <v>0</v>
      </c>
      <c r="N14" s="1527"/>
      <c r="O14" s="1527"/>
    </row>
    <row r="15" spans="1:15" x14ac:dyDescent="0.25">
      <c r="A15" s="325" t="s">
        <v>714</v>
      </c>
      <c r="B15" s="564" t="s">
        <v>433</v>
      </c>
      <c r="C15" s="294">
        <v>11</v>
      </c>
      <c r="D15" s="621" t="s">
        <v>1433</v>
      </c>
      <c r="E15" s="568">
        <f>IF(ISERROR(ROUND((SUM('A6-FinPos'!D8:D10)-SUM('A6-FinPos'!C8:C10))/SUM('A6-FinPos'!C8:C10),3)),0,(ROUND((SUM('A6-FinPos'!D8:D10)-SUM('A6-FinPos'!C8:C10))/SUM('A6-FinPos'!C8:C10),3)))</f>
        <v>0.12</v>
      </c>
      <c r="F15" s="566">
        <f>IF(ISERROR(ROUND((SUM('A6-FinPos'!E8:E10)-SUM('A6-FinPos'!D8:D10))/SUM('A6-FinPos'!D8:D10),3)),0,(ROUND((SUM('A6-FinPos'!E8:E10)-SUM('A6-FinPos'!D8:D10))/SUM('A6-FinPos'!D8:D10),3)))</f>
        <v>-0.89200000000000002</v>
      </c>
      <c r="G15" s="569">
        <f>IF(ISERROR(ROUND((SUM('A6-FinPos'!F8:F10)-SUM('A6-FinPos'!E8:E10))/SUM('A6-FinPos'!E8:E10),3)),0,(ROUND((SUM('A6-FinPos'!F8:F10)-SUM('A6-FinPos'!E8:E10))/SUM('A6-FinPos'!E8:E10),3)))</f>
        <v>23.585999999999999</v>
      </c>
      <c r="H15" s="568">
        <f>IF(ISERROR(ROUND((SUM('A6-FinPos'!G8:G10)-SUM('A6-FinPos'!F8:F10))/SUM('A6-FinPos'!F8:F10),3)),0,(ROUND((SUM('A6-FinPos'!G8:G10)-SUM('A6-FinPos'!F8:F10))/SUM('A6-FinPos'!F8:F10),3)))</f>
        <v>0</v>
      </c>
      <c r="I15" s="566">
        <f>IF(ISERROR(ROUND((SUM('A6-FinPos'!H8:H10)-SUM('A6-FinPos'!G8:G10))/SUM('A6-FinPos'!G8:G10),3)),0,(ROUND((SUM('A6-FinPos'!H8:H10)-SUM('A6-FinPos'!G8:G10))/SUM('A6-FinPos'!G8:G10),3)))</f>
        <v>0</v>
      </c>
      <c r="J15" s="569">
        <f>IF(ISERROR(ROUND((SUM('A6-FinPos'!I8:I10)-SUM('A6-FinPos'!H8:H10))/SUM('A6-FinPos'!H8:H10),3)),0,(ROUND((SUM('A6-FinPos'!I8:I10)-SUM('A6-FinPos'!H8:H10))/SUM('A6-FinPos'!H8:H10),3)))</f>
        <v>1.202</v>
      </c>
      <c r="K15" s="570">
        <f>IF(ISERROR(ROUND((SUM('A6-FinPos'!J8:J10)-SUM('A6-FinPos'!G8:G10))/SUM('A6-FinPos'!G8:G10),3)),0,(ROUND((SUM('A6-FinPos'!J8:J10)-SUM('A6-FinPos'!G8:G10))/SUM('A6-FinPos'!G8:G10),3)))</f>
        <v>-0.27700000000000002</v>
      </c>
      <c r="L15" s="568">
        <f>IF(ISERROR(ROUND((SUM('A6-FinPos'!K8:K10)-SUM('A6-FinPos'!J8:J10))/SUM('A6-FinPos'!J8:J10),3)),0,(ROUND((SUM('A6-FinPos'!K8:K10)-SUM('A6-FinPos'!J8:J10))/SUM('A6-FinPos'!J8:J10),3)))</f>
        <v>5.8999999999999997E-2</v>
      </c>
      <c r="M15" s="566">
        <f>IF(ISERROR(ROUND((SUM('A6-FinPos'!L8:L10)-SUM('A6-FinPos'!K8:K10))/SUM('A6-FinPos'!K8:K10),3)),0,(ROUND((SUM('A6-FinPos'!L8:L10)-SUM('A6-FinPos'!K8:K10))/SUM('A6-FinPos'!K8:K10),3)))</f>
        <v>5.6000000000000001E-2</v>
      </c>
    </row>
    <row r="16" spans="1:15" x14ac:dyDescent="0.25">
      <c r="A16" s="190" t="s">
        <v>1431</v>
      </c>
      <c r="B16" s="556" t="s">
        <v>433</v>
      </c>
      <c r="C16" s="293">
        <v>12</v>
      </c>
      <c r="D16" s="621" t="s">
        <v>1433</v>
      </c>
      <c r="E16" s="568">
        <f>IF(ISERROR(ROUND(('A6-FinPos'!D15-'A6-FinPos'!C15)/'A6-FinPos'!C15,3)),0,(ROUND(('A6-FinPos'!D15-'A6-FinPos'!C15)/'A6-FinPos'!C15,3)))</f>
        <v>0</v>
      </c>
      <c r="F16" s="566">
        <f>IF(ISERROR(ROUND(('A6-FinPos'!E15-'A6-FinPos'!D15)/'A6-FinPos'!D15,3)),0,(ROUND(('A6-FinPos'!E15-'A6-FinPos'!D15)/'A6-FinPos'!D15,3)))</f>
        <v>0</v>
      </c>
      <c r="G16" s="569">
        <f>IF(ISERROR(ROUND(('A6-FinPos'!F15-'A6-FinPos'!E15)/'A6-FinPos'!E15,3)),0,(ROUND(('A6-FinPos'!F15-'A6-FinPos'!E15)/'A6-FinPos'!E15,3)))</f>
        <v>0</v>
      </c>
      <c r="H16" s="568">
        <f>IF(ISERROR(ROUND(('A6-FinPos'!G15-'A6-FinPos'!F15)/'A6-FinPos'!F15,3)),0,(ROUND(('A6-FinPos'!G15-'A6-FinPos'!F15)/'A6-FinPos'!F15,3)))</f>
        <v>0</v>
      </c>
      <c r="I16" s="566">
        <f>IF(ISERROR(ROUND(('A6-FinPos'!H15-'A6-FinPos'!G15)/'A6-FinPos'!G15,3)),0,(ROUND(('A6-FinPos'!H15-'A6-FinPos'!G15)/'A6-FinPos'!G15,3)))</f>
        <v>0</v>
      </c>
      <c r="J16" s="569">
        <f>IF(ISERROR(ROUND(('A6-FinPos'!I15-'A6-FinPos'!H15)/'A6-FinPos'!H15,3)),0,(ROUND(('A6-FinPos'!I15-'A6-FinPos'!H15)/'A6-FinPos'!H15,3)))</f>
        <v>0</v>
      </c>
      <c r="K16" s="570">
        <f>IF(ISERROR(ROUND(('A6-FinPos'!J15-'A6-FinPos'!G15)/'A6-FinPos'!G15,3)),0,(ROUND(('A6-FinPos'!J15-'A6-FinPos'!G15)/'A6-FinPos'!G15,3)))</f>
        <v>0</v>
      </c>
      <c r="L16" s="568">
        <f>IF(ISERROR(ROUND(('A6-FinPos'!K15-'A6-FinPos'!J15)/'A6-FinPos'!J15,3)),0,(ROUND(('A6-FinPos'!K15-'A6-FinPos'!J15)/'A6-FinPos'!J15,3)))</f>
        <v>0</v>
      </c>
      <c r="M16" s="566">
        <f>IF(ISERROR(ROUND(('A6-FinPos'!L15-'A6-FinPos'!K15)/'A6-FinPos'!K15,3)),0,(ROUND(('A6-FinPos'!L15-'A6-FinPos'!K15)/'A6-FinPos'!K15,3)))</f>
        <v>0</v>
      </c>
    </row>
    <row r="17" spans="1:13" x14ac:dyDescent="0.25">
      <c r="A17" s="190" t="s">
        <v>101</v>
      </c>
      <c r="B17" s="571" t="s">
        <v>1315</v>
      </c>
      <c r="C17" s="293">
        <v>13</v>
      </c>
      <c r="D17" s="622">
        <f>IF(ISERROR('A9-Asset'!C69/'A6-FinPos'!C19),0,('A9-Asset'!C69/'A6-FinPos'!C19))</f>
        <v>0</v>
      </c>
      <c r="E17" s="622">
        <f>IF(ISERROR('A9-Asset'!D69/'A6-FinPos'!D19),0,('A9-Asset'!D69/'A6-FinPos'!D19))</f>
        <v>1.5814244987443365E-2</v>
      </c>
      <c r="F17" s="566">
        <f>IF(ISERROR('A9-Asset'!E69/'A6-FinPos'!E19),0,('A9-Asset'!E69/'A6-FinPos'!E19))</f>
        <v>1.2196479006545555E-2</v>
      </c>
      <c r="G17" s="1566">
        <f>IF(ISERROR('A9-Asset'!F69/'A6-FinPos'!F19),0,('A9-Asset'!F69/'A6-FinPos'!F19))</f>
        <v>8.8410167330907358E-3</v>
      </c>
      <c r="H17" s="622">
        <f>IF(ISERROR('A9-Asset'!G69/'A6-FinPos'!G19),0,('A9-Asset'!G69/'A6-FinPos'!G19))</f>
        <v>6.5007026056528843E-3</v>
      </c>
      <c r="I17" s="566">
        <f>IF(ISERROR('A9-Asset'!H69/'A6-FinPos'!H19),0,('A9-Asset'!H69/'A6-FinPos'!H19))</f>
        <v>6.5007026056528843E-3</v>
      </c>
      <c r="J17" s="584">
        <f>IF(ISERROR('A9-Asset'!I69/'A6-FinPos'!I19),0,('A9-Asset'!I69/'A6-FinPos'!I19))</f>
        <v>1.176237982852046E-2</v>
      </c>
      <c r="K17" s="1566">
        <f>IF(ISERROR('A9-Asset'!I69/'A6-FinPos'!J19),0,('A9-Asset'!I69/'A6-FinPos'!J19))</f>
        <v>1.127473587505428E-2</v>
      </c>
      <c r="L17" s="622">
        <f>IF(ISERROR('A9-Asset'!J69/'A6-FinPos'!K19),0,('A9-Asset'!J69/'A6-FinPos'!K19))</f>
        <v>1.127473587505428E-2</v>
      </c>
      <c r="M17" s="566">
        <f>IF(ISERROR('A9-Asset'!K69/'A6-FinPos'!L19),0,('A9-Asset'!K69/'A6-FinPos'!L19))</f>
        <v>1.127473587505428E-2</v>
      </c>
    </row>
    <row r="18" spans="1:13" x14ac:dyDescent="0.25">
      <c r="A18" s="190" t="s">
        <v>980</v>
      </c>
      <c r="B18" s="571" t="str">
        <f>B17</f>
        <v>20(1)(vi)</v>
      </c>
      <c r="C18" s="293">
        <v>14</v>
      </c>
      <c r="D18" s="622">
        <f t="shared" ref="D18:L18" si="2">IF(ISERROR(D58/D57),0,(D58/D57))</f>
        <v>0</v>
      </c>
      <c r="E18" s="568">
        <f t="shared" si="2"/>
        <v>0</v>
      </c>
      <c r="F18" s="566">
        <f t="shared" si="2"/>
        <v>0</v>
      </c>
      <c r="G18" s="567">
        <f t="shared" si="2"/>
        <v>0</v>
      </c>
      <c r="H18" s="568">
        <f t="shared" si="2"/>
        <v>0</v>
      </c>
      <c r="I18" s="566">
        <f t="shared" si="2"/>
        <v>0</v>
      </c>
      <c r="J18" s="569">
        <f t="shared" si="2"/>
        <v>0</v>
      </c>
      <c r="K18" s="570">
        <f t="shared" si="2"/>
        <v>0</v>
      </c>
      <c r="L18" s="568">
        <f t="shared" si="2"/>
        <v>0</v>
      </c>
      <c r="M18" s="566">
        <f>IF(ISERROR(M58/M57),0,((M58/M57)))</f>
        <v>0</v>
      </c>
    </row>
    <row r="19" spans="1:13" ht="6" customHeight="1" x14ac:dyDescent="0.25">
      <c r="A19" s="336"/>
      <c r="B19" s="572"/>
      <c r="C19" s="573"/>
      <c r="D19" s="573"/>
      <c r="E19" s="572"/>
      <c r="F19" s="575"/>
      <c r="G19" s="576"/>
      <c r="H19" s="572"/>
      <c r="I19" s="575"/>
      <c r="J19" s="574"/>
      <c r="K19" s="577"/>
      <c r="L19" s="572"/>
      <c r="M19" s="575"/>
    </row>
    <row r="20" spans="1:13" x14ac:dyDescent="0.25">
      <c r="A20" s="969" t="str">
        <f>head27a</f>
        <v>References</v>
      </c>
      <c r="B20" s="578"/>
      <c r="C20" s="578"/>
      <c r="D20" s="578"/>
      <c r="E20" s="578"/>
      <c r="F20" s="578"/>
      <c r="G20" s="578"/>
      <c r="H20" s="578"/>
      <c r="I20" s="578"/>
      <c r="J20" s="578"/>
      <c r="K20" s="578"/>
      <c r="L20" s="578"/>
      <c r="M20" s="578"/>
    </row>
    <row r="21" spans="1:13" x14ac:dyDescent="0.25">
      <c r="A21" s="239" t="s">
        <v>480</v>
      </c>
      <c r="B21" s="579"/>
      <c r="C21" s="579"/>
      <c r="D21" s="579"/>
      <c r="E21" s="579"/>
      <c r="F21" s="579"/>
      <c r="G21" s="579"/>
      <c r="H21" s="579"/>
      <c r="I21" s="579"/>
      <c r="J21" s="579"/>
      <c r="K21" s="579"/>
      <c r="L21" s="579"/>
      <c r="M21" s="579"/>
    </row>
    <row r="22" spans="1:13" x14ac:dyDescent="0.25">
      <c r="A22" s="287" t="s">
        <v>1386</v>
      </c>
      <c r="B22" s="579"/>
      <c r="C22" s="579"/>
      <c r="D22" s="579"/>
      <c r="E22" s="579"/>
      <c r="F22" s="579"/>
      <c r="G22" s="579"/>
      <c r="H22" s="579"/>
      <c r="I22" s="579"/>
      <c r="J22" s="579"/>
      <c r="K22" s="579"/>
      <c r="L22" s="579"/>
      <c r="M22" s="579"/>
    </row>
    <row r="23" spans="1:13" x14ac:dyDescent="0.25">
      <c r="A23" s="287" t="s">
        <v>680</v>
      </c>
      <c r="B23" s="579"/>
      <c r="C23" s="579"/>
      <c r="D23" s="579"/>
      <c r="E23" s="579"/>
      <c r="F23" s="579"/>
      <c r="G23" s="579"/>
      <c r="H23" s="579"/>
      <c r="I23" s="579"/>
      <c r="J23" s="579"/>
      <c r="K23" s="579"/>
      <c r="L23" s="579"/>
      <c r="M23" s="579"/>
    </row>
    <row r="24" spans="1:13" x14ac:dyDescent="0.25">
      <c r="A24" s="287" t="s">
        <v>681</v>
      </c>
      <c r="B24" s="579"/>
      <c r="C24" s="579"/>
      <c r="D24" s="579"/>
      <c r="E24" s="579"/>
      <c r="F24" s="579"/>
      <c r="G24" s="579"/>
      <c r="H24" s="579"/>
      <c r="I24" s="579"/>
      <c r="J24" s="579"/>
      <c r="K24" s="579"/>
      <c r="L24" s="579"/>
      <c r="M24" s="579"/>
    </row>
    <row r="25" spans="1:13" x14ac:dyDescent="0.25">
      <c r="A25" s="287" t="s">
        <v>782</v>
      </c>
      <c r="B25" s="579"/>
      <c r="C25" s="579"/>
      <c r="D25" s="579"/>
      <c r="E25" s="579"/>
      <c r="F25" s="579"/>
      <c r="G25" s="579"/>
      <c r="H25" s="579"/>
      <c r="I25" s="579"/>
      <c r="J25" s="579"/>
      <c r="K25" s="579"/>
      <c r="L25" s="579"/>
      <c r="M25" s="579"/>
    </row>
    <row r="26" spans="1:13" x14ac:dyDescent="0.25">
      <c r="A26" s="287" t="s">
        <v>1044</v>
      </c>
      <c r="B26" s="579"/>
      <c r="C26" s="579"/>
      <c r="D26" s="579"/>
      <c r="E26" s="579"/>
      <c r="F26" s="579"/>
      <c r="G26" s="579"/>
      <c r="H26" s="579"/>
      <c r="I26" s="579"/>
      <c r="J26" s="579"/>
      <c r="K26" s="579"/>
      <c r="L26" s="579"/>
      <c r="M26" s="579"/>
    </row>
    <row r="27" spans="1:13" x14ac:dyDescent="0.25">
      <c r="A27" s="287" t="s">
        <v>669</v>
      </c>
      <c r="B27" s="579"/>
      <c r="C27" s="579"/>
      <c r="D27" s="579"/>
      <c r="E27" s="579"/>
      <c r="F27" s="579"/>
      <c r="G27" s="579"/>
      <c r="H27" s="579"/>
      <c r="I27" s="579"/>
      <c r="J27" s="579"/>
      <c r="K27" s="579"/>
      <c r="L27" s="579"/>
      <c r="M27" s="579"/>
    </row>
    <row r="28" spans="1:13" x14ac:dyDescent="0.25">
      <c r="A28" s="287" t="s">
        <v>1043</v>
      </c>
      <c r="B28" s="579"/>
      <c r="C28" s="579"/>
      <c r="D28" s="579"/>
      <c r="E28" s="579"/>
      <c r="F28" s="579"/>
      <c r="G28" s="579"/>
      <c r="H28" s="579"/>
      <c r="I28" s="579"/>
      <c r="J28" s="579"/>
      <c r="K28" s="579"/>
      <c r="L28" s="579"/>
      <c r="M28" s="579"/>
    </row>
    <row r="29" spans="1:13" x14ac:dyDescent="0.25">
      <c r="A29" s="287" t="s">
        <v>1206</v>
      </c>
      <c r="B29" s="579"/>
      <c r="C29" s="579"/>
      <c r="D29" s="579"/>
      <c r="E29" s="579"/>
      <c r="F29" s="579"/>
      <c r="G29" s="579"/>
      <c r="H29" s="579"/>
      <c r="I29" s="579"/>
      <c r="J29" s="579"/>
      <c r="K29" s="579"/>
      <c r="L29" s="579"/>
      <c r="M29" s="579"/>
    </row>
    <row r="30" spans="1:13" x14ac:dyDescent="0.25">
      <c r="A30" s="287" t="s">
        <v>345</v>
      </c>
      <c r="B30" s="579"/>
      <c r="C30" s="579"/>
      <c r="D30" s="579"/>
      <c r="E30" s="579"/>
      <c r="F30" s="579"/>
      <c r="G30" s="579"/>
      <c r="H30" s="579"/>
      <c r="I30" s="579"/>
      <c r="J30" s="579"/>
      <c r="K30" s="579"/>
      <c r="L30" s="579"/>
      <c r="M30" s="579"/>
    </row>
    <row r="31" spans="1:13" x14ac:dyDescent="0.25">
      <c r="A31" s="287" t="s">
        <v>1782</v>
      </c>
      <c r="B31" s="579"/>
      <c r="C31" s="579"/>
      <c r="D31" s="579"/>
      <c r="E31" s="579"/>
      <c r="F31" s="579"/>
      <c r="G31" s="579"/>
      <c r="H31" s="579"/>
      <c r="I31" s="579"/>
      <c r="J31" s="579"/>
      <c r="K31" s="579"/>
      <c r="L31" s="579"/>
      <c r="M31" s="579"/>
    </row>
    <row r="32" spans="1:13" x14ac:dyDescent="0.25">
      <c r="A32" s="287" t="s">
        <v>122</v>
      </c>
      <c r="B32" s="579"/>
      <c r="C32" s="579"/>
      <c r="D32" s="579"/>
      <c r="E32" s="579"/>
      <c r="F32" s="579"/>
      <c r="G32" s="579"/>
      <c r="H32" s="579"/>
      <c r="I32" s="579"/>
      <c r="J32" s="579"/>
      <c r="K32" s="579"/>
      <c r="L32" s="579"/>
      <c r="M32" s="579"/>
    </row>
    <row r="33" spans="1:18" x14ac:dyDescent="0.25">
      <c r="A33" s="287" t="s">
        <v>670</v>
      </c>
      <c r="B33" s="579"/>
      <c r="C33" s="579"/>
      <c r="D33" s="579"/>
      <c r="E33" s="579"/>
      <c r="F33" s="579"/>
      <c r="G33" s="579"/>
      <c r="H33" s="579"/>
      <c r="I33" s="579"/>
      <c r="J33" s="579"/>
      <c r="K33" s="579"/>
      <c r="L33" s="579"/>
      <c r="M33" s="579"/>
    </row>
    <row r="34" spans="1:18" x14ac:dyDescent="0.25">
      <c r="A34" s="287" t="s">
        <v>671</v>
      </c>
      <c r="B34" s="579"/>
      <c r="C34" s="579"/>
      <c r="D34" s="579"/>
      <c r="E34" s="579"/>
      <c r="F34" s="579"/>
      <c r="G34" s="579"/>
      <c r="H34" s="579"/>
      <c r="I34" s="579"/>
      <c r="J34" s="579"/>
      <c r="K34" s="579"/>
      <c r="L34" s="579"/>
      <c r="M34" s="579"/>
    </row>
    <row r="35" spans="1:18" x14ac:dyDescent="0.25">
      <c r="A35" s="2094" t="s">
        <v>1210</v>
      </c>
      <c r="B35" s="2095"/>
      <c r="C35" s="2095"/>
      <c r="D35" s="2122"/>
      <c r="E35" s="2123"/>
      <c r="F35" s="2124"/>
      <c r="G35" s="400"/>
      <c r="H35" s="398"/>
      <c r="I35" s="398"/>
      <c r="J35" s="2124"/>
      <c r="K35" s="400"/>
      <c r="L35" s="398"/>
      <c r="M35" s="2124"/>
    </row>
    <row r="36" spans="1:18" x14ac:dyDescent="0.25">
      <c r="A36" s="581" t="s">
        <v>901</v>
      </c>
      <c r="B36" s="582" t="s">
        <v>433</v>
      </c>
      <c r="C36" s="582"/>
      <c r="D36" s="2025"/>
      <c r="E36" s="2125">
        <f t="shared" ref="E36:E42" si="3">IF(ISERROR((E44/D44)-1),0,((E44/D44)-1))</f>
        <v>-0.11850381907227536</v>
      </c>
      <c r="F36" s="566">
        <f>IF(ISERROR((F44/E44)-1),0,((F44/E44)-1))</f>
        <v>0.60314123644620321</v>
      </c>
      <c r="G36" s="2127">
        <f>IF(ISERROR((G44/F44)-1),0,((G44/F44)-1))</f>
        <v>-0.20971935704988254</v>
      </c>
      <c r="H36" s="2125">
        <f>IF(ISERROR((H44/G44)-1),0,((H44/G44)-1))</f>
        <v>0.47854990756283966</v>
      </c>
      <c r="I36" s="2125">
        <f>IF(ISERROR((I44/H44)-1),0,((I44/H44)-1))</f>
        <v>0</v>
      </c>
      <c r="J36" s="2128">
        <f>IF(ISERROR((J44/I44)-1),0,((J44/I44)-1))</f>
        <v>-0.48267735443700965</v>
      </c>
      <c r="K36" s="570">
        <f>IF(ISERROR((K44/H44)-1),0,((K44/H44)-1))</f>
        <v>0.53805349186023088</v>
      </c>
      <c r="L36" s="622">
        <f>IF(ISERROR((L44/K44)-1),0,((L44/K44)-1))</f>
        <v>5.9000000000000163E-2</v>
      </c>
      <c r="M36" s="566">
        <f>IF(ISERROR((M44/L44)-1),0,((M44/L44)-1))</f>
        <v>5.600000000000005E-2</v>
      </c>
      <c r="Q36" s="310"/>
      <c r="R36" s="310"/>
    </row>
    <row r="37" spans="1:18" x14ac:dyDescent="0.25">
      <c r="A37" s="581" t="s">
        <v>902</v>
      </c>
      <c r="B37" s="582" t="s">
        <v>433</v>
      </c>
      <c r="C37" s="582"/>
      <c r="D37" s="2025"/>
      <c r="E37" s="2125">
        <f t="shared" si="3"/>
        <v>-0.26679098853636474</v>
      </c>
      <c r="F37" s="566">
        <f t="shared" ref="F37:M42" si="4">IF(ISERROR((F45/E45)-1),0,((F45/E45)-1))</f>
        <v>1.7520734994025031</v>
      </c>
      <c r="G37" s="2127">
        <f t="shared" si="4"/>
        <v>-0.49522050565727826</v>
      </c>
      <c r="H37" s="2125">
        <f t="shared" si="4"/>
        <v>2.3179807796965561</v>
      </c>
      <c r="I37" s="2125">
        <f t="shared" si="4"/>
        <v>0</v>
      </c>
      <c r="J37" s="2128">
        <f t="shared" si="4"/>
        <v>-0.69255301627720178</v>
      </c>
      <c r="K37" s="570">
        <f t="shared" ref="K37:K42" si="5">IF(ISERROR((K45/H45)-1),0,((K45/H45)-1))</f>
        <v>1.5994125409297477</v>
      </c>
      <c r="L37" s="622">
        <f t="shared" si="4"/>
        <v>5.8999999999999941E-2</v>
      </c>
      <c r="M37" s="566">
        <f t="shared" si="4"/>
        <v>5.600000000000005E-2</v>
      </c>
      <c r="Q37" s="310"/>
      <c r="R37" s="310"/>
    </row>
    <row r="38" spans="1:18" x14ac:dyDescent="0.25">
      <c r="A38" s="581" t="str">
        <f>"% incr "&amp;'A4-FinPerf RE'!A7</f>
        <v>% incr Service charges - electricity revenue</v>
      </c>
      <c r="B38" s="582" t="s">
        <v>433</v>
      </c>
      <c r="C38" s="582"/>
      <c r="D38" s="2025"/>
      <c r="E38" s="2125">
        <f t="shared" si="3"/>
        <v>0</v>
      </c>
      <c r="F38" s="566">
        <f t="shared" si="4"/>
        <v>0</v>
      </c>
      <c r="G38" s="2127">
        <f t="shared" si="4"/>
        <v>0</v>
      </c>
      <c r="H38" s="2125">
        <f t="shared" si="4"/>
        <v>0</v>
      </c>
      <c r="I38" s="2125">
        <f t="shared" si="4"/>
        <v>0</v>
      </c>
      <c r="J38" s="2128">
        <f t="shared" si="4"/>
        <v>0</v>
      </c>
      <c r="K38" s="570">
        <f t="shared" si="5"/>
        <v>0</v>
      </c>
      <c r="L38" s="622">
        <f t="shared" si="4"/>
        <v>0</v>
      </c>
      <c r="M38" s="566">
        <f>IF(ISERROR((M46/L46)-1),0,((M46/L46)-1))</f>
        <v>0</v>
      </c>
      <c r="Q38" s="310"/>
      <c r="R38" s="310"/>
    </row>
    <row r="39" spans="1:18" x14ac:dyDescent="0.25">
      <c r="A39" s="581" t="str">
        <f>"% incr "&amp;'A4-FinPerf RE'!A8</f>
        <v>% incr Service charges - water revenue</v>
      </c>
      <c r="B39" s="582" t="s">
        <v>433</v>
      </c>
      <c r="C39" s="582"/>
      <c r="D39" s="2025"/>
      <c r="E39" s="2125">
        <f t="shared" si="3"/>
        <v>-1.2312451813014436E-2</v>
      </c>
      <c r="F39" s="566">
        <f t="shared" si="4"/>
        <v>-5.0198869891554865E-2</v>
      </c>
      <c r="G39" s="2127">
        <f t="shared" si="4"/>
        <v>0.22299428456479053</v>
      </c>
      <c r="H39" s="2125">
        <f t="shared" si="4"/>
        <v>0</v>
      </c>
      <c r="I39" s="2125">
        <f t="shared" si="4"/>
        <v>0</v>
      </c>
      <c r="J39" s="2128">
        <f t="shared" si="4"/>
        <v>-0.3889780422326401</v>
      </c>
      <c r="K39" s="570">
        <f t="shared" si="5"/>
        <v>4.5590622871338748E-2</v>
      </c>
      <c r="L39" s="622">
        <f t="shared" si="4"/>
        <v>5.8999999999999941E-2</v>
      </c>
      <c r="M39" s="566">
        <f t="shared" si="4"/>
        <v>5.600000000000005E-2</v>
      </c>
      <c r="Q39" s="310"/>
      <c r="R39" s="310"/>
    </row>
    <row r="40" spans="1:18" x14ac:dyDescent="0.25">
      <c r="A40" s="581" t="str">
        <f>"% incr "&amp;'A4-FinPerf RE'!A9</f>
        <v>% incr Service charges - sanitation revenue</v>
      </c>
      <c r="B40" s="582" t="s">
        <v>433</v>
      </c>
      <c r="C40" s="582"/>
      <c r="D40" s="2025"/>
      <c r="E40" s="2125">
        <f t="shared" si="3"/>
        <v>-1</v>
      </c>
      <c r="F40" s="566">
        <f t="shared" si="4"/>
        <v>0</v>
      </c>
      <c r="G40" s="2127">
        <f t="shared" si="4"/>
        <v>0.10800323600741146</v>
      </c>
      <c r="H40" s="2125">
        <f t="shared" si="4"/>
        <v>0</v>
      </c>
      <c r="I40" s="2125">
        <f t="shared" si="4"/>
        <v>0</v>
      </c>
      <c r="J40" s="2128">
        <f t="shared" si="4"/>
        <v>0.15827374301089359</v>
      </c>
      <c r="K40" s="570">
        <f t="shared" si="5"/>
        <v>0.16783196966206604</v>
      </c>
      <c r="L40" s="622">
        <f t="shared" si="4"/>
        <v>5.8999999999999941E-2</v>
      </c>
      <c r="M40" s="566">
        <f t="shared" si="4"/>
        <v>5.600000000000005E-2</v>
      </c>
      <c r="Q40" s="310"/>
      <c r="R40" s="310"/>
    </row>
    <row r="41" spans="1:18" x14ac:dyDescent="0.25">
      <c r="A41" s="581" t="str">
        <f>"% incr "&amp;'A4-FinPerf RE'!A10</f>
        <v>% incr Service charges - refuse revenue</v>
      </c>
      <c r="B41" s="582" t="s">
        <v>433</v>
      </c>
      <c r="C41" s="582"/>
      <c r="D41" s="2025"/>
      <c r="E41" s="2125">
        <f t="shared" si="3"/>
        <v>-0.66519166537803431</v>
      </c>
      <c r="F41" s="566">
        <f t="shared" si="4"/>
        <v>12.31531763297016</v>
      </c>
      <c r="G41" s="2127">
        <f t="shared" si="4"/>
        <v>-0.82001352440748798</v>
      </c>
      <c r="H41" s="2125">
        <f t="shared" si="4"/>
        <v>2.8635455743879472</v>
      </c>
      <c r="I41" s="2125">
        <f t="shared" si="4"/>
        <v>0</v>
      </c>
      <c r="J41" s="2128">
        <f t="shared" si="4"/>
        <v>-0.48990037269676778</v>
      </c>
      <c r="K41" s="570">
        <f t="shared" si="5"/>
        <v>0.27734468391355782</v>
      </c>
      <c r="L41" s="622">
        <f t="shared" si="4"/>
        <v>5.8999999999999941E-2</v>
      </c>
      <c r="M41" s="566">
        <f t="shared" si="4"/>
        <v>5.600000000000005E-2</v>
      </c>
      <c r="Q41" s="310"/>
      <c r="R41" s="310"/>
    </row>
    <row r="42" spans="1:18" x14ac:dyDescent="0.25">
      <c r="A42" s="581" t="str">
        <f>"% incr in "&amp;'A4-FinPerf RE'!A11</f>
        <v>% incr in Service charges - other</v>
      </c>
      <c r="B42" s="582" t="s">
        <v>433</v>
      </c>
      <c r="C42" s="582"/>
      <c r="D42" s="2025"/>
      <c r="E42" s="2125">
        <f t="shared" si="3"/>
        <v>0</v>
      </c>
      <c r="F42" s="566">
        <f t="shared" si="4"/>
        <v>0</v>
      </c>
      <c r="G42" s="2127">
        <f t="shared" si="4"/>
        <v>0</v>
      </c>
      <c r="H42" s="2125">
        <f t="shared" si="4"/>
        <v>0</v>
      </c>
      <c r="I42" s="2125">
        <f>IF(ISERROR((I50/H50)-1),0,((I50/H50)-1))</f>
        <v>0</v>
      </c>
      <c r="J42" s="2128">
        <f t="shared" si="4"/>
        <v>0</v>
      </c>
      <c r="K42" s="570">
        <f t="shared" si="5"/>
        <v>0</v>
      </c>
      <c r="L42" s="622">
        <f>IF(ISERROR((L50/K50)-1),0,((L50/K50)-1))</f>
        <v>0</v>
      </c>
      <c r="M42" s="566">
        <f t="shared" si="4"/>
        <v>0</v>
      </c>
      <c r="Q42" s="310"/>
      <c r="R42" s="310"/>
    </row>
    <row r="43" spans="1:18" x14ac:dyDescent="0.25">
      <c r="A43" s="581" t="s">
        <v>773</v>
      </c>
      <c r="B43" s="582" t="s">
        <v>433</v>
      </c>
      <c r="C43" s="582"/>
      <c r="D43" s="1268">
        <f>SUM(D45:D50)</f>
        <v>45941262</v>
      </c>
      <c r="E43" s="192">
        <f t="shared" ref="E43:M43" si="6">SUM(E45:E50)</f>
        <v>40497047</v>
      </c>
      <c r="F43" s="1269">
        <f t="shared" si="6"/>
        <v>64922486</v>
      </c>
      <c r="G43" s="1268">
        <f t="shared" si="6"/>
        <v>51306983.978</v>
      </c>
      <c r="H43" s="192">
        <f t="shared" si="6"/>
        <v>75859936.417999998</v>
      </c>
      <c r="I43" s="192">
        <f t="shared" si="6"/>
        <v>75859936.417999998</v>
      </c>
      <c r="J43" s="1269">
        <f t="shared" si="6"/>
        <v>39244063</v>
      </c>
      <c r="K43" s="1268">
        <f t="shared" si="6"/>
        <v>116676640.09999999</v>
      </c>
      <c r="L43" s="192">
        <f t="shared" si="6"/>
        <v>123560561.86590001</v>
      </c>
      <c r="M43" s="1269">
        <f t="shared" si="6"/>
        <v>130479953.33039041</v>
      </c>
    </row>
    <row r="44" spans="1:18" x14ac:dyDescent="0.25">
      <c r="A44" s="581" t="s">
        <v>1597</v>
      </c>
      <c r="B44" s="582"/>
      <c r="C44" s="582"/>
      <c r="D44" s="1268">
        <f>SUM(D45:D50)</f>
        <v>45941262</v>
      </c>
      <c r="E44" s="192">
        <f t="shared" ref="E44:M44" si="7">SUM(E45:E50)</f>
        <v>40497047</v>
      </c>
      <c r="F44" s="1269">
        <f t="shared" si="7"/>
        <v>64922486</v>
      </c>
      <c r="G44" s="1268">
        <f t="shared" si="7"/>
        <v>51306983.978</v>
      </c>
      <c r="H44" s="192">
        <f t="shared" si="7"/>
        <v>75859936.417999998</v>
      </c>
      <c r="I44" s="192">
        <f t="shared" si="7"/>
        <v>75859936.417999998</v>
      </c>
      <c r="J44" s="1269">
        <f>SUM(J45:J50)</f>
        <v>39244063</v>
      </c>
      <c r="K44" s="1268">
        <f t="shared" si="7"/>
        <v>116676640.09999999</v>
      </c>
      <c r="L44" s="192">
        <f t="shared" si="7"/>
        <v>123560561.86590001</v>
      </c>
      <c r="M44" s="1269">
        <f t="shared" si="7"/>
        <v>130479953.33039041</v>
      </c>
    </row>
    <row r="45" spans="1:18" x14ac:dyDescent="0.25">
      <c r="A45" s="581" t="s">
        <v>539</v>
      </c>
      <c r="B45" s="582"/>
      <c r="C45" s="582"/>
      <c r="D45" s="1268">
        <f>'A4-FinPerf RE'!C5+'A4-FinPerf RE'!C6</f>
        <v>6535187</v>
      </c>
      <c r="E45" s="192">
        <f>'A4-FinPerf RE'!D5+'A4-FinPerf RE'!D6</f>
        <v>4791658</v>
      </c>
      <c r="F45" s="1269">
        <f>'A4-FinPerf RE'!E5+'A4-FinPerf RE'!E6</f>
        <v>13186995</v>
      </c>
      <c r="G45" s="1268">
        <f>'A4-FinPerf RE'!F5+'A4-FinPerf RE'!F6</f>
        <v>6656524.6680000005</v>
      </c>
      <c r="H45" s="192">
        <f>'A4-FinPerf RE'!G5+'A4-FinPerf RE'!G6</f>
        <v>22086220.908</v>
      </c>
      <c r="I45" s="192">
        <f>'A4-FinPerf RE'!H5+'A4-FinPerf RE'!H6</f>
        <v>22086220.908</v>
      </c>
      <c r="J45" s="1269">
        <f>'A4-FinPerf RE'!I5+'A4-FinPerf RE'!I6</f>
        <v>6790342</v>
      </c>
      <c r="K45" s="1268">
        <f>'A4-FinPerf RE'!J5+'A4-FinPerf RE'!J6</f>
        <v>57411199.609999999</v>
      </c>
      <c r="L45" s="192">
        <f>'A4-FinPerf RE'!K5+'A4-FinPerf RE'!K6</f>
        <v>60798460.386989996</v>
      </c>
      <c r="M45" s="1269">
        <f>'A4-FinPerf RE'!L5+'A4-FinPerf RE'!L6</f>
        <v>64203174.168661438</v>
      </c>
    </row>
    <row r="46" spans="1:18" x14ac:dyDescent="0.25">
      <c r="A46" s="581" t="s">
        <v>1788</v>
      </c>
      <c r="B46" s="582"/>
      <c r="C46" s="582"/>
      <c r="D46" s="1268">
        <f>'A4-FinPerf RE'!C7</f>
        <v>0</v>
      </c>
      <c r="E46" s="192">
        <f>'A4-FinPerf RE'!D7</f>
        <v>0</v>
      </c>
      <c r="F46" s="1269">
        <f>'A4-FinPerf RE'!E7</f>
        <v>0</v>
      </c>
      <c r="G46" s="1268">
        <f>'A4-FinPerf RE'!F7</f>
        <v>0</v>
      </c>
      <c r="H46" s="192">
        <f>'A4-FinPerf RE'!G7</f>
        <v>0</v>
      </c>
      <c r="I46" s="192">
        <f>'A4-FinPerf RE'!H7</f>
        <v>0</v>
      </c>
      <c r="J46" s="1269">
        <f>'A4-FinPerf RE'!I7</f>
        <v>0</v>
      </c>
      <c r="K46" s="1268">
        <f>'A4-FinPerf RE'!J7</f>
        <v>0</v>
      </c>
      <c r="L46" s="192">
        <f>'A4-FinPerf RE'!K7</f>
        <v>0</v>
      </c>
      <c r="M46" s="1269">
        <f>'A4-FinPerf RE'!L7</f>
        <v>0</v>
      </c>
    </row>
    <row r="47" spans="1:18" x14ac:dyDescent="0.25">
      <c r="A47" s="581" t="s">
        <v>1789</v>
      </c>
      <c r="B47" s="582"/>
      <c r="C47" s="582"/>
      <c r="D47" s="1268">
        <f>'A4-FinPerf RE'!C8</f>
        <v>34804522</v>
      </c>
      <c r="E47" s="192">
        <f>'A4-FinPerf RE'!D8</f>
        <v>34375993</v>
      </c>
      <c r="F47" s="1269">
        <f>'A4-FinPerf RE'!E8</f>
        <v>32650357</v>
      </c>
      <c r="G47" s="1268">
        <f>'A4-FinPerf RE'!F8</f>
        <v>39931200</v>
      </c>
      <c r="H47" s="192">
        <f>'A4-FinPerf RE'!G8</f>
        <v>39931200</v>
      </c>
      <c r="I47" s="192">
        <f>'A4-FinPerf RE'!H8</f>
        <v>39931200</v>
      </c>
      <c r="J47" s="1269">
        <f>'A4-FinPerf RE'!I8</f>
        <v>24398840</v>
      </c>
      <c r="K47" s="1268">
        <f>'A4-FinPerf RE'!J8</f>
        <v>41751688.280000001</v>
      </c>
      <c r="L47" s="192">
        <f>'A4-FinPerf RE'!K8</f>
        <v>44215037.888520002</v>
      </c>
      <c r="M47" s="1269">
        <f>'A4-FinPerf RE'!L8</f>
        <v>46691080.010277122</v>
      </c>
    </row>
    <row r="48" spans="1:18" x14ac:dyDescent="0.25">
      <c r="A48" s="581" t="s">
        <v>926</v>
      </c>
      <c r="B48" s="582"/>
      <c r="C48" s="582"/>
      <c r="D48" s="1268">
        <f>'A4-FinPerf RE'!C9</f>
        <v>630935</v>
      </c>
      <c r="E48" s="192">
        <f>'A4-FinPerf RE'!D9</f>
        <v>0</v>
      </c>
      <c r="F48" s="1269">
        <f>'A4-FinPerf RE'!E9</f>
        <v>1383804</v>
      </c>
      <c r="G48" s="1268">
        <f>'A4-FinPerf RE'!F9</f>
        <v>1533259.31</v>
      </c>
      <c r="H48" s="192">
        <f>'A4-FinPerf RE'!G9</f>
        <v>1533259.31</v>
      </c>
      <c r="I48" s="192">
        <f>'A4-FinPerf RE'!H9</f>
        <v>1533259.31</v>
      </c>
      <c r="J48" s="1269">
        <f>'A4-FinPerf RE'!I9</f>
        <v>1775934</v>
      </c>
      <c r="K48" s="1268">
        <f>'A4-FinPerf RE'!J9</f>
        <v>1790589.2400000002</v>
      </c>
      <c r="L48" s="192">
        <f>'A4-FinPerf RE'!K9</f>
        <v>1896234.0051600002</v>
      </c>
      <c r="M48" s="1269">
        <f>'A4-FinPerf RE'!L9</f>
        <v>2002423.1094489603</v>
      </c>
    </row>
    <row r="49" spans="1:13" x14ac:dyDescent="0.25">
      <c r="A49" s="581" t="s">
        <v>927</v>
      </c>
      <c r="B49" s="582"/>
      <c r="C49" s="582"/>
      <c r="D49" s="1268">
        <f>'A4-FinPerf RE'!C10</f>
        <v>3970618</v>
      </c>
      <c r="E49" s="192">
        <f>'A4-FinPerf RE'!D10</f>
        <v>1329396</v>
      </c>
      <c r="F49" s="1269">
        <f>'A4-FinPerf RE'!E10</f>
        <v>17701330</v>
      </c>
      <c r="G49" s="1268">
        <f>'A4-FinPerf RE'!F10</f>
        <v>3186000</v>
      </c>
      <c r="H49" s="192">
        <f>'A4-FinPerf RE'!G10</f>
        <v>12309256.199999999</v>
      </c>
      <c r="I49" s="192">
        <f>'A4-FinPerf RE'!H10</f>
        <v>12309256.199999999</v>
      </c>
      <c r="J49" s="1269">
        <f>'A4-FinPerf RE'!I10</f>
        <v>6278947</v>
      </c>
      <c r="K49" s="1268">
        <f>'A4-FinPerf RE'!J10</f>
        <v>15723162.970000001</v>
      </c>
      <c r="L49" s="192">
        <f>'A4-FinPerf RE'!K10</f>
        <v>16650829.58523</v>
      </c>
      <c r="M49" s="1269">
        <f>'A4-FinPerf RE'!L10</f>
        <v>17583276.042002883</v>
      </c>
    </row>
    <row r="50" spans="1:13" x14ac:dyDescent="0.25">
      <c r="A50" s="581" t="s">
        <v>928</v>
      </c>
      <c r="B50" s="582"/>
      <c r="C50" s="582"/>
      <c r="D50" s="1268">
        <f>'A4-FinPerf RE'!C11</f>
        <v>0</v>
      </c>
      <c r="E50" s="192">
        <f>'A4-FinPerf RE'!D11</f>
        <v>0</v>
      </c>
      <c r="F50" s="1269">
        <f>'A4-FinPerf RE'!E11</f>
        <v>0</v>
      </c>
      <c r="G50" s="1268">
        <f>'A4-FinPerf RE'!F11</f>
        <v>0</v>
      </c>
      <c r="H50" s="192">
        <f>'A4-FinPerf RE'!G11</f>
        <v>0</v>
      </c>
      <c r="I50" s="192">
        <f>'A4-FinPerf RE'!H11</f>
        <v>0</v>
      </c>
      <c r="J50" s="1269">
        <f>'A4-FinPerf RE'!I11</f>
        <v>0</v>
      </c>
      <c r="K50" s="1268">
        <f>'A4-FinPerf RE'!J11</f>
        <v>0</v>
      </c>
      <c r="L50" s="192">
        <f>'A4-FinPerf RE'!K11</f>
        <v>0</v>
      </c>
      <c r="M50" s="1269">
        <f>'A4-FinPerf RE'!L11</f>
        <v>0</v>
      </c>
    </row>
    <row r="51" spans="1:13" x14ac:dyDescent="0.25">
      <c r="A51" s="581" t="str">
        <f>'A4-FinPerf RE'!A12</f>
        <v>Rental of facilities and equipment</v>
      </c>
      <c r="B51" s="582"/>
      <c r="C51" s="582"/>
      <c r="D51" s="1268">
        <f>'A4-FinPerf RE'!C12</f>
        <v>335487</v>
      </c>
      <c r="E51" s="192">
        <f>'A4-FinPerf RE'!D12</f>
        <v>121420</v>
      </c>
      <c r="F51" s="1269">
        <f>'A4-FinPerf RE'!E12</f>
        <v>371898</v>
      </c>
      <c r="G51" s="1268">
        <f>'A4-FinPerf RE'!F12</f>
        <v>135318.21000000002</v>
      </c>
      <c r="H51" s="192">
        <f>'A4-FinPerf RE'!G12</f>
        <v>534405.30000000005</v>
      </c>
      <c r="I51" s="192">
        <f>'A4-FinPerf RE'!H12</f>
        <v>534405.30000000005</v>
      </c>
      <c r="J51" s="1269">
        <f>'A4-FinPerf RE'!I12</f>
        <v>362063</v>
      </c>
      <c r="K51" s="1268">
        <f>'A4-FinPerf RE'!J12</f>
        <v>565400.5</v>
      </c>
      <c r="L51" s="192">
        <f>'A4-FinPerf RE'!K12</f>
        <v>598759.12949999992</v>
      </c>
      <c r="M51" s="1269">
        <f>'A4-FinPerf RE'!L12</f>
        <v>632289.64075199992</v>
      </c>
    </row>
    <row r="52" spans="1:13" x14ac:dyDescent="0.25">
      <c r="A52" s="581" t="s">
        <v>974</v>
      </c>
      <c r="B52" s="582"/>
      <c r="C52" s="582"/>
      <c r="D52" s="1268">
        <f>'A5-Capex'!C40-'A5-Capex'!C70</f>
        <v>0</v>
      </c>
      <c r="E52" s="192">
        <f>'A5-Capex'!D40-'A5-Capex'!D70</f>
        <v>0</v>
      </c>
      <c r="F52" s="1269">
        <f>'A5-Capex'!E40-'A5-Capex'!E70</f>
        <v>0</v>
      </c>
      <c r="G52" s="1268">
        <f>'A5-Capex'!F40-'A5-Capex'!F70</f>
        <v>0</v>
      </c>
      <c r="H52" s="192">
        <f>'A5-Capex'!G40-'A5-Capex'!G70</f>
        <v>0</v>
      </c>
      <c r="I52" s="192">
        <f>'A5-Capex'!H40-'A5-Capex'!H70</f>
        <v>0</v>
      </c>
      <c r="J52" s="1269">
        <f>'A5-Capex'!I40-'A5-Capex'!I70</f>
        <v>0</v>
      </c>
      <c r="K52" s="1268">
        <f>'A5-Capex'!J40-'A5-Capex'!J70</f>
        <v>0</v>
      </c>
      <c r="L52" s="192">
        <f>'A5-Capex'!K40-'A5-Capex'!K70</f>
        <v>465356.54000003636</v>
      </c>
      <c r="M52" s="1269">
        <f>'A5-Capex'!L40-'A5-Capex'!L70</f>
        <v>859629.86851508915</v>
      </c>
    </row>
    <row r="53" spans="1:13" x14ac:dyDescent="0.25">
      <c r="A53" s="581" t="s">
        <v>973</v>
      </c>
      <c r="B53" s="582" t="s">
        <v>433</v>
      </c>
      <c r="C53" s="582"/>
      <c r="D53" s="206">
        <f>'A7-CFlow'!C6+'A7-CFlow'!C7+'A7-CFlow'!C8</f>
        <v>47020000</v>
      </c>
      <c r="E53" s="203">
        <f>'A7-CFlow'!D6+'A7-CFlow'!D7+'A7-CFlow'!D8</f>
        <v>24110686</v>
      </c>
      <c r="F53" s="803">
        <f>'A7-CFlow'!E6+'A7-CFlow'!E7+'A7-CFlow'!E8</f>
        <v>257793185</v>
      </c>
      <c r="G53" s="206">
        <f>'A7-CFlow'!F6+'A7-CFlow'!F7+'A7-CFlow'!F8</f>
        <v>11204436.89600005</v>
      </c>
      <c r="H53" s="203">
        <f>'A7-CFlow'!G6+'A7-CFlow'!G7+'A7-CFlow'!G8</f>
        <v>10085465.079999983</v>
      </c>
      <c r="I53" s="203">
        <f>'A7-CFlow'!H6+'A7-CFlow'!H7+'A7-CFlow'!H8</f>
        <v>10085465.079999983</v>
      </c>
      <c r="J53" s="803">
        <f>'A7-CFlow'!I6+'A7-CFlow'!I7+'A7-CFlow'!I8</f>
        <v>47991215</v>
      </c>
      <c r="K53" s="206">
        <f>'A7-CFlow'!J6+'A7-CFlow'!J7+'A7-CFlow'!J8</f>
        <v>78298380.769999996</v>
      </c>
      <c r="L53" s="203">
        <f>'A7-CFlow'!K6+'A7-CFlow'!K7+'A7-CFlow'!K8</f>
        <v>82917985.235430002</v>
      </c>
      <c r="M53" s="1269">
        <f>'A7-CFlow'!L6+'A7-CFlow'!L7+'A7-CFlow'!L8</f>
        <v>87561392.408614069</v>
      </c>
    </row>
    <row r="54" spans="1:13" x14ac:dyDescent="0.25">
      <c r="A54" s="586" t="s">
        <v>1783</v>
      </c>
      <c r="B54" s="582" t="s">
        <v>433</v>
      </c>
      <c r="C54" s="582"/>
      <c r="D54" s="206">
        <f>SUM('A4-FinPerf RE'!C5:C12)+'A4-FinPerf RE'!C14+SUM('A4-FinPerf RE'!C16:C18)+'A4-FinPerf RE'!C20</f>
        <v>63403635</v>
      </c>
      <c r="E54" s="203">
        <f>SUM('A4-FinPerf RE'!D5:D12)+'A4-FinPerf RE'!D14+SUM('A4-FinPerf RE'!D16:D18)+'A4-FinPerf RE'!D20</f>
        <v>142083470</v>
      </c>
      <c r="F54" s="803">
        <f>SUM('A4-FinPerf RE'!E5:E12)+'A4-FinPerf RE'!E14+SUM('A4-FinPerf RE'!E16:E18)+'A4-FinPerf RE'!E20</f>
        <v>161687424.47</v>
      </c>
      <c r="G54" s="206">
        <f>SUM('A4-FinPerf RE'!F5:F12)+'A4-FinPerf RE'!F14+SUM('A4-FinPerf RE'!F16:F18)+'A4-FinPerf RE'!F20</f>
        <v>81460122.987999991</v>
      </c>
      <c r="H54" s="203">
        <f>SUM('A4-FinPerf RE'!G5:G12)+'A4-FinPerf RE'!G14+SUM('A4-FinPerf RE'!G16:G18)+'A4-FinPerf RE'!G20</f>
        <v>109075803.59799999</v>
      </c>
      <c r="I54" s="203">
        <f>SUM('A4-FinPerf RE'!H5:H12)+'A4-FinPerf RE'!H14+SUM('A4-FinPerf RE'!H16:H18)+'A4-FinPerf RE'!H20</f>
        <v>109075803.59799999</v>
      </c>
      <c r="J54" s="803">
        <f>SUM('A4-FinPerf RE'!I5:I12)+'A4-FinPerf RE'!I14+SUM('A4-FinPerf RE'!I16:I18)+'A4-FinPerf RE'!I20</f>
        <v>73819190</v>
      </c>
      <c r="K54" s="206">
        <f>SUM('A4-FinPerf RE'!J5:J12)+'A4-FinPerf RE'!J14+SUM('A4-FinPerf RE'!J16:J18)+'A4-FinPerf RE'!J20</f>
        <v>177077090.13999999</v>
      </c>
      <c r="L54" s="203">
        <f>SUM('A4-FinPerf RE'!K5:K12)+'A4-FinPerf RE'!K14+SUM('A4-FinPerf RE'!K16:K18)+'A4-FinPerf RE'!K20</f>
        <v>187524638.45826</v>
      </c>
      <c r="M54" s="803">
        <f>SUM('A4-FinPerf RE'!L5:L12)+'A4-FinPerf RE'!L14+SUM('A4-FinPerf RE'!L16:L18)+'A4-FinPerf RE'!L20</f>
        <v>198026018.21192259</v>
      </c>
    </row>
    <row r="55" spans="1:13" x14ac:dyDescent="0.25">
      <c r="A55" s="586" t="s">
        <v>665</v>
      </c>
      <c r="B55" s="582"/>
      <c r="C55" s="582"/>
      <c r="D55" s="206">
        <f>D84</f>
        <v>-85888392</v>
      </c>
      <c r="E55" s="203">
        <f>(SUM('A6-FinPos'!D8:D10)+'A6-FinPos'!D15)-(SUM('A6-FinPos'!C8:C10)+'A6-FinPos'!C15)</f>
        <v>7899870</v>
      </c>
      <c r="F55" s="803">
        <f>(SUM('A6-FinPos'!E8:E10)+'A6-FinPos'!E15)-(SUM('A6-FinPos'!D8:D10)+'A6-FinPos'!D15)</f>
        <v>-65727301</v>
      </c>
      <c r="G55" s="206">
        <f>(SUM('A6-FinPos'!F8:F10)+'A6-FinPos'!F15)-(SUM('A6-FinPos'!E8:E10)+'A6-FinPos'!E15)</f>
        <v>187879859</v>
      </c>
      <c r="H55" s="203">
        <f>(SUM('A6-FinPos'!G8:G10)+'A6-FinPos'!G15)-(SUM('A6-FinPos'!E8:E10)+'A6-FinPos'!E15)</f>
        <v>187879859</v>
      </c>
      <c r="I55" s="203">
        <f>(SUM('A6-FinPos'!H8:H10)+'A6-FinPos'!H15)-(SUM('A6-FinPos'!E8:E10)+'A6-FinPos'!E15)</f>
        <v>187879859</v>
      </c>
      <c r="J55" s="803">
        <f>(SUM('A6-FinPos'!I8:I10)+'A6-FinPos'!I15)-(SUM('A6-FinPos'!E8:E10)+'A6-FinPos'!E15)</f>
        <v>423375100</v>
      </c>
      <c r="K55" s="206">
        <f>(SUM('A6-FinPos'!J8:J10)+'A6-FinPos'!J15)-(SUM('A6-FinPos'!F8:F10)+'A6-FinPos'!F15)</f>
        <v>-54282527.050000012</v>
      </c>
      <c r="L55" s="203">
        <f>(SUM('A6-FinPos'!K8:K10)+'A6-FinPos'!K15)-(SUM('A6-FinPos'!J8:J10)+'A6-FinPos'!J15)</f>
        <v>8352211.1560500264</v>
      </c>
      <c r="M55" s="803">
        <f>(SUM('A6-FinPos'!L8:L10)+'A6-FinPos'!L15)-(SUM('A6-FinPos'!K8:K10)+'A6-FinPos'!K15)</f>
        <v>8395246.277938813</v>
      </c>
    </row>
    <row r="56" spans="1:13" x14ac:dyDescent="0.25">
      <c r="A56" s="586" t="s">
        <v>1209</v>
      </c>
      <c r="B56" s="582" t="s">
        <v>433</v>
      </c>
      <c r="C56" s="582"/>
      <c r="D56" s="206">
        <f>'A4-FinPerf RE'!C19+'A4-FinPerf RE'!C39</f>
        <v>312613821</v>
      </c>
      <c r="E56" s="203">
        <f>'A4-FinPerf RE'!D19+'A4-FinPerf RE'!D39</f>
        <v>363599277</v>
      </c>
      <c r="F56" s="803">
        <f>'A4-FinPerf RE'!E19+'A4-FinPerf RE'!E39</f>
        <v>337500744</v>
      </c>
      <c r="G56" s="206">
        <f>'A4-FinPerf RE'!F19+'A4-FinPerf RE'!F39</f>
        <v>391800000</v>
      </c>
      <c r="H56" s="203">
        <f>'A4-FinPerf RE'!G19+'A4-FinPerf RE'!G39</f>
        <v>391040000</v>
      </c>
      <c r="I56" s="203">
        <f>'A4-FinPerf RE'!H19+'A4-FinPerf RE'!H39</f>
        <v>391040000</v>
      </c>
      <c r="J56" s="803">
        <f>'A4-FinPerf RE'!I19+'A4-FinPerf RE'!I39</f>
        <v>195304000</v>
      </c>
      <c r="K56" s="206">
        <f>'A4-FinPerf RE'!J19+'A4-FinPerf RE'!J39</f>
        <v>429530000</v>
      </c>
      <c r="L56" s="203">
        <f>'A4-FinPerf RE'!K19+'A4-FinPerf RE'!K39</f>
        <v>454872270</v>
      </c>
      <c r="M56" s="803">
        <f>'A4-FinPerf RE'!L19+'A4-FinPerf RE'!L39</f>
        <v>480345117.12</v>
      </c>
    </row>
    <row r="57" spans="1:13" x14ac:dyDescent="0.25">
      <c r="A57" s="586" t="s">
        <v>1211</v>
      </c>
      <c r="B57" s="587" t="str">
        <f>B17</f>
        <v>20(1)(vi)</v>
      </c>
      <c r="C57" s="582"/>
      <c r="D57" s="206">
        <f>'A5-Capex'!C40</f>
        <v>44966000</v>
      </c>
      <c r="E57" s="203">
        <f>'A5-Capex'!D40</f>
        <v>16769034.030000001</v>
      </c>
      <c r="F57" s="803">
        <f>'A5-Capex'!E40</f>
        <v>113650291.00000001</v>
      </c>
      <c r="G57" s="206">
        <f>'A5-Capex'!F40</f>
        <v>110819751.63</v>
      </c>
      <c r="H57" s="203">
        <f>'A5-Capex'!G40</f>
        <v>111340502.91000003</v>
      </c>
      <c r="I57" s="203">
        <f>'A5-Capex'!H40</f>
        <v>111340502.91000003</v>
      </c>
      <c r="J57" s="803">
        <f>'A5-Capex'!I40</f>
        <v>17831558.759999998</v>
      </c>
      <c r="K57" s="206">
        <f>'A5-Capex'!J40</f>
        <v>116339135</v>
      </c>
      <c r="L57" s="203">
        <f>'A5-Capex'!K40</f>
        <v>123203143.96500003</v>
      </c>
      <c r="M57" s="803">
        <f>'A5-Capex'!L40</f>
        <v>130102520.02704008</v>
      </c>
    </row>
    <row r="58" spans="1:13" x14ac:dyDescent="0.25">
      <c r="A58" s="586" t="s">
        <v>1212</v>
      </c>
      <c r="B58" s="587" t="str">
        <f>B18</f>
        <v>20(1)(vi)</v>
      </c>
      <c r="C58" s="582"/>
      <c r="D58" s="206">
        <f>'A9-Asset'!C20</f>
        <v>0</v>
      </c>
      <c r="E58" s="203">
        <f>'A9-Asset'!D20</f>
        <v>0</v>
      </c>
      <c r="F58" s="803">
        <f>'A9-Asset'!E20</f>
        <v>0</v>
      </c>
      <c r="G58" s="206">
        <f>'A9-Asset'!F20</f>
        <v>0</v>
      </c>
      <c r="H58" s="203">
        <f>'A9-Asset'!G20</f>
        <v>0</v>
      </c>
      <c r="I58" s="203">
        <f>'A9-Asset'!H20</f>
        <v>0</v>
      </c>
      <c r="J58" s="203"/>
      <c r="K58" s="206">
        <f>'A9-Asset'!I20</f>
        <v>0</v>
      </c>
      <c r="L58" s="203">
        <f>'A9-Asset'!J20</f>
        <v>0</v>
      </c>
      <c r="M58" s="803">
        <f>'A9-Asset'!K20</f>
        <v>0</v>
      </c>
    </row>
    <row r="59" spans="1:13" ht="6" customHeight="1" x14ac:dyDescent="0.25">
      <c r="A59" s="586"/>
      <c r="B59" s="582"/>
      <c r="C59" s="582"/>
      <c r="D59" s="2027"/>
      <c r="E59" s="293"/>
      <c r="F59" s="2126"/>
      <c r="G59" s="403"/>
      <c r="H59" s="402"/>
      <c r="I59" s="402"/>
      <c r="J59" s="2126"/>
      <c r="K59" s="403"/>
      <c r="L59" s="402"/>
      <c r="M59" s="2126"/>
    </row>
    <row r="60" spans="1:13" x14ac:dyDescent="0.25">
      <c r="A60" s="580" t="s">
        <v>9</v>
      </c>
      <c r="B60" s="582"/>
      <c r="C60" s="582"/>
      <c r="D60" s="2027"/>
      <c r="E60" s="293"/>
      <c r="F60" s="2126"/>
      <c r="G60" s="403"/>
      <c r="H60" s="402"/>
      <c r="I60" s="402"/>
      <c r="J60" s="2126"/>
      <c r="K60" s="403"/>
      <c r="L60" s="402"/>
      <c r="M60" s="2126"/>
    </row>
    <row r="61" spans="1:13" x14ac:dyDescent="0.25">
      <c r="A61" s="586" t="s">
        <v>465</v>
      </c>
      <c r="B61" s="582"/>
      <c r="C61" s="582"/>
      <c r="D61" s="2127">
        <v>0.06</v>
      </c>
      <c r="E61" s="2125">
        <v>0.06</v>
      </c>
      <c r="F61" s="2128">
        <v>0.06</v>
      </c>
      <c r="G61" s="2127">
        <v>0.06</v>
      </c>
      <c r="H61" s="2125">
        <v>0.06</v>
      </c>
      <c r="I61" s="2125">
        <v>0.06</v>
      </c>
      <c r="J61" s="2128">
        <v>0.06</v>
      </c>
      <c r="K61" s="2127">
        <v>0.06</v>
      </c>
      <c r="L61" s="2125">
        <v>0.06</v>
      </c>
      <c r="M61" s="2128">
        <v>0.06</v>
      </c>
    </row>
    <row r="62" spans="1:13" x14ac:dyDescent="0.25">
      <c r="A62" s="586" t="s">
        <v>2064</v>
      </c>
      <c r="B62" s="582"/>
      <c r="C62" s="582"/>
      <c r="D62" s="2127">
        <v>4.2999999999999997E-2</v>
      </c>
      <c r="E62" s="2125">
        <v>3.9E-2</v>
      </c>
      <c r="F62" s="2128">
        <v>4.5999999999999999E-2</v>
      </c>
      <c r="G62" s="2127">
        <v>0.05</v>
      </c>
      <c r="H62" s="2125">
        <v>0.05</v>
      </c>
      <c r="I62" s="2125">
        <v>0.05</v>
      </c>
      <c r="J62" s="2128">
        <v>0.05</v>
      </c>
      <c r="K62" s="2127">
        <v>5.3999999999999999E-2</v>
      </c>
      <c r="L62" s="2125">
        <v>5.6000000000000001E-2</v>
      </c>
      <c r="M62" s="2128">
        <v>5.3999999999999999E-2</v>
      </c>
    </row>
    <row r="63" spans="1:13" x14ac:dyDescent="0.25">
      <c r="A63" s="586" t="s">
        <v>1488</v>
      </c>
      <c r="B63" s="582"/>
      <c r="C63" s="582"/>
      <c r="D63" s="2129"/>
      <c r="E63" s="2130"/>
      <c r="F63" s="2131"/>
      <c r="G63" s="2132"/>
      <c r="H63" s="2133"/>
      <c r="I63" s="2133"/>
      <c r="J63" s="2131"/>
      <c r="K63" s="1608"/>
      <c r="L63" s="1606"/>
      <c r="M63" s="1609"/>
    </row>
    <row r="64" spans="1:13" x14ac:dyDescent="0.25">
      <c r="A64" s="586" t="s">
        <v>1489</v>
      </c>
      <c r="B64" s="582"/>
      <c r="C64" s="582"/>
      <c r="D64" s="2129"/>
      <c r="E64" s="2130"/>
      <c r="F64" s="2131"/>
      <c r="G64" s="2132"/>
      <c r="H64" s="2133"/>
      <c r="I64" s="2133"/>
      <c r="J64" s="2131"/>
      <c r="K64" s="1608"/>
      <c r="L64" s="1606"/>
      <c r="M64" s="1609"/>
    </row>
    <row r="65" spans="1:13" x14ac:dyDescent="0.25">
      <c r="A65" s="586" t="s">
        <v>1490</v>
      </c>
      <c r="B65" s="582"/>
      <c r="C65" s="582"/>
      <c r="D65" s="2129"/>
      <c r="E65" s="2130"/>
      <c r="F65" s="2131"/>
      <c r="G65" s="2132"/>
      <c r="H65" s="2133"/>
      <c r="I65" s="2133"/>
      <c r="J65" s="2131"/>
      <c r="K65" s="1608"/>
      <c r="L65" s="1606"/>
      <c r="M65" s="1609"/>
    </row>
    <row r="66" spans="1:13" x14ac:dyDescent="0.25">
      <c r="A66" s="586" t="s">
        <v>1491</v>
      </c>
      <c r="B66" s="582"/>
      <c r="C66" s="582"/>
      <c r="D66" s="2129"/>
      <c r="E66" s="2130"/>
      <c r="F66" s="2131"/>
      <c r="G66" s="2132"/>
      <c r="H66" s="2133"/>
      <c r="I66" s="2133"/>
      <c r="J66" s="2131"/>
      <c r="K66" s="1608"/>
      <c r="L66" s="1606"/>
      <c r="M66" s="1609"/>
    </row>
    <row r="67" spans="1:13" x14ac:dyDescent="0.25">
      <c r="A67" s="586" t="s">
        <v>1208</v>
      </c>
      <c r="B67" s="582"/>
      <c r="C67" s="582"/>
      <c r="D67" s="2129"/>
      <c r="E67" s="2130"/>
      <c r="F67" s="2131"/>
      <c r="G67" s="2132"/>
      <c r="H67" s="2133"/>
      <c r="I67" s="2133"/>
      <c r="J67" s="2131"/>
      <c r="K67" s="1608"/>
      <c r="L67" s="1606"/>
      <c r="M67" s="1609"/>
    </row>
    <row r="68" spans="1:13" x14ac:dyDescent="0.25">
      <c r="A68" s="586" t="s">
        <v>1207</v>
      </c>
      <c r="B68" s="582"/>
      <c r="C68" s="582"/>
      <c r="D68" s="2132"/>
      <c r="E68" s="2133"/>
      <c r="F68" s="2131"/>
      <c r="G68" s="2132"/>
      <c r="H68" s="2133"/>
      <c r="I68" s="2133"/>
      <c r="J68" s="2131"/>
      <c r="K68" s="211">
        <f>SUM(K63:K67)</f>
        <v>0</v>
      </c>
      <c r="L68" s="207">
        <f>SUM(L63:L67)</f>
        <v>0</v>
      </c>
      <c r="M68" s="558">
        <f>SUM(M63:M67)</f>
        <v>0</v>
      </c>
    </row>
    <row r="69" spans="1:13" x14ac:dyDescent="0.25">
      <c r="A69" s="586" t="s">
        <v>10</v>
      </c>
      <c r="B69" s="582"/>
      <c r="C69" s="582"/>
      <c r="D69" s="2025"/>
      <c r="E69" s="2010"/>
      <c r="F69" s="2128"/>
      <c r="G69" s="2127"/>
      <c r="H69" s="2125"/>
      <c r="I69" s="2125"/>
      <c r="J69" s="2128"/>
      <c r="K69" s="2127"/>
      <c r="L69" s="2125"/>
      <c r="M69" s="2128"/>
    </row>
    <row r="70" spans="1:13" ht="13.5" thickBot="1" x14ac:dyDescent="0.3">
      <c r="A70" s="588"/>
      <c r="B70" s="589"/>
      <c r="C70" s="589"/>
      <c r="D70" s="2134"/>
      <c r="E70" s="2135"/>
      <c r="F70" s="2136"/>
      <c r="G70" s="2137"/>
      <c r="H70" s="2138"/>
      <c r="I70" s="2138"/>
      <c r="J70" s="2136"/>
      <c r="K70" s="2137"/>
      <c r="L70" s="2138"/>
      <c r="M70" s="2136"/>
    </row>
    <row r="71" spans="1:13" x14ac:dyDescent="0.25">
      <c r="A71" s="590" t="s">
        <v>1247</v>
      </c>
      <c r="J71" s="1567"/>
      <c r="K71" s="2139"/>
      <c r="L71" s="2140"/>
      <c r="M71" s="2141"/>
    </row>
    <row r="72" spans="1:13" x14ac:dyDescent="0.25">
      <c r="A72" s="1825" t="s">
        <v>2774</v>
      </c>
      <c r="D72" s="2108"/>
      <c r="E72" s="2108"/>
      <c r="F72" s="2109"/>
      <c r="G72" s="2109"/>
      <c r="H72" s="2109"/>
      <c r="I72" s="2109"/>
      <c r="J72" s="2110"/>
      <c r="K72" s="1608">
        <v>288644000</v>
      </c>
      <c r="L72" s="1606">
        <f>K72*1.055</f>
        <v>304519420</v>
      </c>
      <c r="M72" s="1609">
        <f>L72*1.053</f>
        <v>320658949.25999999</v>
      </c>
    </row>
    <row r="73" spans="1:13" x14ac:dyDescent="0.25">
      <c r="A73" s="1649" t="s">
        <v>2775</v>
      </c>
      <c r="D73" s="2108"/>
      <c r="E73" s="2108"/>
      <c r="F73" s="2109"/>
      <c r="G73" s="2109"/>
      <c r="H73" s="2109"/>
      <c r="I73" s="2109"/>
      <c r="J73" s="2110"/>
      <c r="K73" s="1608">
        <v>1600000</v>
      </c>
      <c r="L73" s="1606">
        <f>K73*1.055</f>
        <v>1688000</v>
      </c>
      <c r="M73" s="1609">
        <f>L73*1.053</f>
        <v>1777464</v>
      </c>
    </row>
    <row r="74" spans="1:13" x14ac:dyDescent="0.25">
      <c r="A74" s="1649" t="s">
        <v>2776</v>
      </c>
      <c r="D74" s="2108"/>
      <c r="E74" s="2108"/>
      <c r="F74" s="2109"/>
      <c r="G74" s="2109"/>
      <c r="H74" s="2109"/>
      <c r="I74" s="2109"/>
      <c r="J74" s="2110"/>
      <c r="K74" s="1608">
        <v>930000</v>
      </c>
      <c r="L74" s="1606">
        <f>K74*1.055</f>
        <v>981150</v>
      </c>
      <c r="M74" s="1609">
        <f>L74*1.053</f>
        <v>1033150.95</v>
      </c>
    </row>
    <row r="75" spans="1:13" x14ac:dyDescent="0.25">
      <c r="A75" s="1649" t="s">
        <v>2778</v>
      </c>
      <c r="D75" s="2108"/>
      <c r="E75" s="2108"/>
      <c r="F75" s="2109"/>
      <c r="G75" s="2109"/>
      <c r="H75" s="2109"/>
      <c r="I75" s="2109"/>
      <c r="J75" s="2110"/>
      <c r="K75" s="1608">
        <f>15000000+3117000</f>
        <v>18117000</v>
      </c>
      <c r="L75" s="1606">
        <f>K75*1.055</f>
        <v>19113435</v>
      </c>
      <c r="M75" s="1609">
        <f>L75*1.053</f>
        <v>20126447.055</v>
      </c>
    </row>
    <row r="76" spans="1:13" ht="13.5" thickBot="1" x14ac:dyDescent="0.3">
      <c r="D76" s="2108"/>
      <c r="E76" s="2108"/>
      <c r="F76" s="2109"/>
      <c r="G76" s="2109"/>
      <c r="H76" s="2109"/>
      <c r="I76" s="2109"/>
      <c r="J76" s="2110"/>
      <c r="K76" s="2142">
        <f>SUM(K72:K75)</f>
        <v>309291000</v>
      </c>
      <c r="L76" s="2143">
        <f>SUM(L72:L75)</f>
        <v>326302005</v>
      </c>
      <c r="M76" s="2144">
        <f>SUM(M72:M75)</f>
        <v>343596011.26499999</v>
      </c>
    </row>
    <row r="77" spans="1:13" ht="13.5" thickTop="1" x14ac:dyDescent="0.25">
      <c r="A77" s="590" t="s">
        <v>283</v>
      </c>
      <c r="J77" s="1567"/>
      <c r="K77" s="206"/>
      <c r="L77" s="203"/>
      <c r="M77" s="803"/>
    </row>
    <row r="78" spans="1:13" x14ac:dyDescent="0.25">
      <c r="A78" s="1825" t="s">
        <v>2777</v>
      </c>
      <c r="D78" s="2108"/>
      <c r="E78" s="2108"/>
      <c r="F78" s="2109"/>
      <c r="G78" s="2109"/>
      <c r="H78" s="2109"/>
      <c r="I78" s="2109"/>
      <c r="J78" s="2110"/>
      <c r="K78" s="1608">
        <v>119139000</v>
      </c>
      <c r="L78" s="1606">
        <f>K78*1.055</f>
        <v>125691645</v>
      </c>
      <c r="M78" s="1609">
        <f>L78*1.053</f>
        <v>132353302.18499999</v>
      </c>
    </row>
    <row r="79" spans="1:13" x14ac:dyDescent="0.25">
      <c r="A79" s="1649" t="s">
        <v>2693</v>
      </c>
      <c r="D79" s="2108"/>
      <c r="E79" s="2108"/>
      <c r="F79" s="2109"/>
      <c r="G79" s="2109"/>
      <c r="H79" s="2109"/>
      <c r="I79" s="2109"/>
      <c r="J79" s="2110"/>
      <c r="K79" s="1608">
        <v>1100000</v>
      </c>
      <c r="L79" s="1606">
        <f>K79*1.055</f>
        <v>1160500</v>
      </c>
      <c r="M79" s="1609">
        <f>L79*1.053</f>
        <v>1222006.5</v>
      </c>
    </row>
    <row r="80" spans="1:13" x14ac:dyDescent="0.25">
      <c r="A80" s="1649"/>
      <c r="D80" s="2108"/>
      <c r="E80" s="2108"/>
      <c r="F80" s="2109"/>
      <c r="G80" s="2109"/>
      <c r="H80" s="2109"/>
      <c r="I80" s="2109"/>
      <c r="J80" s="2110"/>
      <c r="K80" s="1608"/>
      <c r="L80" s="1606"/>
      <c r="M80" s="1609"/>
    </row>
    <row r="81" spans="1:14" x14ac:dyDescent="0.25">
      <c r="A81" s="1649"/>
      <c r="D81" s="2108"/>
      <c r="E81" s="2108"/>
      <c r="F81" s="2109"/>
      <c r="G81" s="2109"/>
      <c r="H81" s="2109"/>
      <c r="I81" s="2109"/>
      <c r="J81" s="2110"/>
      <c r="K81" s="1608"/>
      <c r="L81" s="1606"/>
      <c r="M81" s="1609"/>
    </row>
    <row r="82" spans="1:14" ht="13.5" thickBot="1" x14ac:dyDescent="0.3">
      <c r="A82" s="1580"/>
      <c r="B82" s="337"/>
      <c r="C82" s="337"/>
      <c r="D82" s="2111"/>
      <c r="E82" s="2111"/>
      <c r="F82" s="2112"/>
      <c r="G82" s="2112"/>
      <c r="H82" s="2112"/>
      <c r="I82" s="2112"/>
      <c r="J82" s="2113"/>
      <c r="K82" s="2142">
        <f>SUM(K78:K81)</f>
        <v>120239000</v>
      </c>
      <c r="L82" s="2143">
        <f>SUM(L78:L81)</f>
        <v>126852145</v>
      </c>
      <c r="M82" s="2144">
        <f>SUM(M78:M81)</f>
        <v>133575308.68499999</v>
      </c>
    </row>
    <row r="83" spans="1:14" ht="13.5" thickTop="1" x14ac:dyDescent="0.25">
      <c r="A83" s="590" t="s">
        <v>668</v>
      </c>
      <c r="M83" s="1591"/>
    </row>
    <row r="84" spans="1:14" x14ac:dyDescent="0.25">
      <c r="A84" s="149" t="str">
        <f>A55</f>
        <v>Change in consumer debtors (current and non-current)</v>
      </c>
      <c r="D84" s="591">
        <f>TREND(E84:G84)</f>
        <v>-85888392</v>
      </c>
      <c r="E84" s="591">
        <f>E55</f>
        <v>7899870</v>
      </c>
      <c r="F84" s="591">
        <f>F55</f>
        <v>-65727301</v>
      </c>
      <c r="G84" s="362">
        <f>J55</f>
        <v>423375100</v>
      </c>
      <c r="H84" s="362">
        <f t="shared" ref="H84:M84" si="8">K55</f>
        <v>-54282527.050000012</v>
      </c>
      <c r="I84" s="362">
        <f t="shared" si="8"/>
        <v>8352211.1560500264</v>
      </c>
      <c r="J84" s="362">
        <f t="shared" si="8"/>
        <v>8395246.277938813</v>
      </c>
      <c r="K84" s="362">
        <f t="shared" si="8"/>
        <v>0</v>
      </c>
      <c r="L84" s="362">
        <f t="shared" si="8"/>
        <v>0</v>
      </c>
      <c r="M84" s="204">
        <f t="shared" si="8"/>
        <v>0</v>
      </c>
    </row>
    <row r="85" spans="1:14" ht="12" customHeight="1" x14ac:dyDescent="0.25">
      <c r="M85" s="1581"/>
    </row>
    <row r="86" spans="1:14" x14ac:dyDescent="0.25">
      <c r="A86" s="1578" t="s">
        <v>1849</v>
      </c>
      <c r="B86" s="1576"/>
      <c r="C86" s="1577"/>
      <c r="D86" s="2114">
        <f>'A1-Sum'!B10</f>
        <v>381529743</v>
      </c>
      <c r="E86" s="2115">
        <f>'A1-Sum'!C10</f>
        <v>373679259</v>
      </c>
      <c r="F86" s="2116">
        <f>'A1-Sum'!D10</f>
        <v>411613982.47000003</v>
      </c>
      <c r="G86" s="2114">
        <f>'A1-Sum'!E10</f>
        <v>362940372.98799998</v>
      </c>
      <c r="H86" s="2115">
        <f>'A1-Sum'!F10</f>
        <v>390230204.67799997</v>
      </c>
      <c r="I86" s="2115">
        <f>'A1-Sum'!G10</f>
        <v>390230204.67799997</v>
      </c>
      <c r="J86" s="2116">
        <f>'A1-Sum'!H10</f>
        <v>271826774</v>
      </c>
      <c r="K86" s="2114">
        <f>'A1-Sum'!I10</f>
        <v>488837076.79000002</v>
      </c>
      <c r="L86" s="2115">
        <f>'A1-Sum'!J10</f>
        <v>517678464.32061005</v>
      </c>
      <c r="M86" s="2117">
        <f>'A1-Sum'!K10</f>
        <v>546668458.32256413</v>
      </c>
      <c r="N86" s="246"/>
    </row>
    <row r="87" spans="1:14" x14ac:dyDescent="0.25">
      <c r="A87" s="1568" t="s">
        <v>1850</v>
      </c>
      <c r="B87" s="1575"/>
      <c r="C87" s="582"/>
      <c r="D87" s="2014">
        <f>'A1-Sum'!B18</f>
        <v>367303885</v>
      </c>
      <c r="E87" s="324">
        <f>'A1-Sum'!C18</f>
        <v>480311835</v>
      </c>
      <c r="F87" s="2017">
        <f>'A1-Sum'!D18</f>
        <v>634171173</v>
      </c>
      <c r="G87" s="2014">
        <f>'A1-Sum'!E18</f>
        <v>542203713.77425599</v>
      </c>
      <c r="H87" s="324">
        <f>'A1-Sum'!F18</f>
        <v>360517281.74425602</v>
      </c>
      <c r="I87" s="324">
        <f>'A1-Sum'!G18</f>
        <v>360517281.74425602</v>
      </c>
      <c r="J87" s="2017">
        <f>'A1-Sum'!H18</f>
        <v>175469184.66</v>
      </c>
      <c r="K87" s="2014">
        <f>'A1-Sum'!I18</f>
        <v>629943578.63999987</v>
      </c>
      <c r="L87" s="324">
        <f>'A1-Sum'!J18</f>
        <v>667110249.77975988</v>
      </c>
      <c r="M87" s="1592">
        <f>'A1-Sum'!K18</f>
        <v>704468423.76742649</v>
      </c>
      <c r="N87" s="246"/>
    </row>
    <row r="88" spans="1:14" x14ac:dyDescent="0.25">
      <c r="A88" s="1568" t="s">
        <v>1851</v>
      </c>
      <c r="B88" s="1575"/>
      <c r="C88" s="582"/>
      <c r="D88" s="2014">
        <f>D86-D87</f>
        <v>14225858</v>
      </c>
      <c r="E88" s="324">
        <f t="shared" ref="E88:M88" si="9">E86-E87</f>
        <v>-106632576</v>
      </c>
      <c r="F88" s="2017">
        <f t="shared" si="9"/>
        <v>-222557190.52999997</v>
      </c>
      <c r="G88" s="2014">
        <f t="shared" si="9"/>
        <v>-179263340.78625602</v>
      </c>
      <c r="H88" s="324">
        <f t="shared" si="9"/>
        <v>29712922.933743954</v>
      </c>
      <c r="I88" s="324">
        <f t="shared" si="9"/>
        <v>29712922.933743954</v>
      </c>
      <c r="J88" s="2017">
        <f t="shared" si="9"/>
        <v>96357589.340000004</v>
      </c>
      <c r="K88" s="2014">
        <f>K86-K87</f>
        <v>-141106501.84999985</v>
      </c>
      <c r="L88" s="324">
        <f t="shared" si="9"/>
        <v>-149431785.45914984</v>
      </c>
      <c r="M88" s="1592">
        <f t="shared" si="9"/>
        <v>-157799965.44486237</v>
      </c>
      <c r="N88" s="246"/>
    </row>
    <row r="89" spans="1:14" x14ac:dyDescent="0.25">
      <c r="A89" s="1568" t="s">
        <v>1932</v>
      </c>
      <c r="B89" s="1575"/>
      <c r="C89" s="582"/>
      <c r="D89" s="2118"/>
      <c r="E89" s="2119"/>
      <c r="F89" s="2120"/>
      <c r="G89" s="2121"/>
      <c r="H89" s="432"/>
      <c r="I89" s="432"/>
      <c r="J89" s="2120"/>
      <c r="K89" s="2118">
        <f>'A7-CFlow'!J40</f>
        <v>99999.77999997139</v>
      </c>
      <c r="L89" s="432"/>
      <c r="M89" s="2083"/>
      <c r="N89" s="246"/>
    </row>
    <row r="90" spans="1:14" x14ac:dyDescent="0.25">
      <c r="A90" s="1555" t="s">
        <v>1852</v>
      </c>
      <c r="B90" s="1579"/>
      <c r="C90" s="431"/>
      <c r="D90" s="291"/>
      <c r="E90" s="291"/>
      <c r="F90" s="553"/>
      <c r="G90" s="555"/>
      <c r="H90" s="1589"/>
      <c r="I90" s="1589"/>
      <c r="J90" s="553"/>
      <c r="K90" s="555"/>
      <c r="L90" s="1589"/>
      <c r="M90" s="554"/>
    </row>
    <row r="91" spans="1:14" x14ac:dyDescent="0.25">
      <c r="A91" s="201" t="s">
        <v>1853</v>
      </c>
      <c r="B91" s="1570"/>
      <c r="C91" s="236"/>
      <c r="D91" s="2010"/>
      <c r="E91" s="2010">
        <f>IF(ISERROR(('A1-Sum'!C10-'A1-Sum'!B10)/'A1-Sum'!B10),0,(('A1-Sum'!C10-'A1-Sum'!B10)/'A1-Sum'!B10))</f>
        <v>-2.0576335512589382E-2</v>
      </c>
      <c r="F91" s="2023">
        <f>IF(ISERROR(('A1-Sum'!D10-'A1-Sum'!C10)/'A1-Sum'!C10),0,(('A1-Sum'!D10-'A1-Sum'!C10)/'A1-Sum'!C10))</f>
        <v>0.10151680232806293</v>
      </c>
      <c r="G91" s="2025">
        <f>IF(ISERROR(('A1-Sum'!E10-'A1-Sum'!D10)/'A1-Sum'!D10),0,(('A1-Sum'!E10-'A1-Sum'!D10)/'A1-Sum'!D10))</f>
        <v>-0.11825062207537512</v>
      </c>
      <c r="H91" s="2010">
        <f>IF(ISERROR(('A1-Sum'!F10-'A1-Sum'!E10)/'A1-Sum'!E10),0,(('A1-Sum'!F10-'A1-Sum'!E10)/'A1-Sum'!E10))</f>
        <v>7.5190950693441561E-2</v>
      </c>
      <c r="I91" s="2010">
        <f>IF(ISERROR(('A1-Sum'!G10-'A1-Sum'!F10)/'A1-Sum'!F10),0,(('A1-Sum'!G10-'A1-Sum'!F10)/'A1-Sum'!F10))</f>
        <v>0</v>
      </c>
      <c r="J91" s="2023">
        <f>IF(ISERROR(('A1-Sum'!H10-'A1-Sum'!G10)/'A1-Sum'!G10),0,(('A1-Sum'!H10-'A1-Sum'!G10)/'A1-Sum'!G10))</f>
        <v>-0.30341944129030463</v>
      </c>
      <c r="K91" s="2025">
        <f>IF(ISERROR(('A1-Sum'!I10-'A1-Sum'!F10)/'A1-Sum'!F10),0,(('A1-Sum'!I10-'A1-Sum'!F10)/'A1-Sum'!F10))</f>
        <v>0.25268897929970824</v>
      </c>
      <c r="L91" s="2010">
        <f>IF(ISERROR(('A1-Sum'!J10-'A1-Sum'!I10)/'A1-Sum'!I10),0,(('A1-Sum'!J10-'A1-Sum'!I10)/'A1-Sum'!I10))</f>
        <v>5.9000000000000045E-2</v>
      </c>
      <c r="M91" s="2011">
        <f>IF(ISERROR(('A1-Sum'!K10-'A1-Sum'!J10)/'A1-Sum'!J10),0,(('A1-Sum'!K10-'A1-Sum'!J10)/'A1-Sum'!J10))</f>
        <v>5.5999999999999835E-2</v>
      </c>
    </row>
    <row r="92" spans="1:14" x14ac:dyDescent="0.25">
      <c r="A92" s="201" t="s">
        <v>1854</v>
      </c>
      <c r="B92" s="1570"/>
      <c r="C92" s="236"/>
      <c r="D92" s="2010"/>
      <c r="E92" s="2010">
        <f>IF(ISERROR(('A4-FinPerf RE'!D5-'A4-FinPerf RE'!C5)/'A4-FinPerf RE'!C5),0,(('A4-FinPerf RE'!D5-'A4-FinPerf RE'!C5)/'A4-FinPerf RE'!C5))</f>
        <v>-0.26679098853636474</v>
      </c>
      <c r="F92" s="2023">
        <f>IF(ISERROR(('A4-FinPerf RE'!E5-'A4-FinPerf RE'!D5)/'A4-FinPerf RE'!D5),0,(('A4-FinPerf RE'!E5-'A4-FinPerf RE'!D5)/'A4-FinPerf RE'!D5))</f>
        <v>1.7520734994025033</v>
      </c>
      <c r="G92" s="2025">
        <f>IF(ISERROR(('A4-FinPerf RE'!F5-'A4-FinPerf RE'!E5)/'A4-FinPerf RE'!E5),0,(('A4-FinPerf RE'!F5-'A4-FinPerf RE'!E5)/'A4-FinPerf RE'!E5))</f>
        <v>-0.49522050565727821</v>
      </c>
      <c r="H92" s="2010">
        <f>IF(ISERROR(('A4-FinPerf RE'!G5-'A4-FinPerf RE'!F5)/'A4-FinPerf RE'!F5),0,(('A4-FinPerf RE'!G5-'A4-FinPerf RE'!F5)/'A4-FinPerf RE'!F5))</f>
        <v>2.3179807796965557</v>
      </c>
      <c r="I92" s="2010">
        <f>IF(ISERROR(('A4-FinPerf RE'!H5-'A4-FinPerf RE'!G5)/'A4-FinPerf RE'!G5),0,(('A4-FinPerf RE'!H5-'A4-FinPerf RE'!G5)/'A4-FinPerf RE'!G5))</f>
        <v>0</v>
      </c>
      <c r="J92" s="2023">
        <f>IF(ISERROR(('A4-FinPerf RE'!I5-'A4-FinPerf RE'!H5)/'A4-FinPerf RE'!H5),0,(('A4-FinPerf RE'!I5-'A4-FinPerf RE'!H5)/'A4-FinPerf RE'!H5))</f>
        <v>-0.69255301627720189</v>
      </c>
      <c r="K92" s="2025">
        <f>IF(ISERROR(('A4-FinPerf RE'!J5-'A4-FinPerf RE'!G5)/'A4-FinPerf RE'!G5),0,(('A4-FinPerf RE'!J5-'A4-FinPerf RE'!G5)/'A4-FinPerf RE'!G5))</f>
        <v>1.5994125409297477</v>
      </c>
      <c r="L92" s="2010">
        <f>IF(ISERROR(('A4-FinPerf RE'!K5-'A4-FinPerf RE'!J5)/'A4-FinPerf RE'!J5),0,(('A4-FinPerf RE'!K5-'A4-FinPerf RE'!J5)/'A4-FinPerf RE'!J5))</f>
        <v>5.8999999999999941E-2</v>
      </c>
      <c r="M92" s="2011">
        <f>IF(ISERROR(('A4-FinPerf RE'!L5-'A4-FinPerf RE'!K5)/'A4-FinPerf RE'!K5),0,(('A4-FinPerf RE'!L5-'A4-FinPerf RE'!K5)/'A4-FinPerf RE'!K5))</f>
        <v>5.6000000000000036E-2</v>
      </c>
    </row>
    <row r="93" spans="1:14" x14ac:dyDescent="0.25">
      <c r="A93" s="201" t="s">
        <v>1855</v>
      </c>
      <c r="B93" s="1570"/>
      <c r="C93" s="236"/>
      <c r="D93" s="2010"/>
      <c r="E93" s="2010">
        <f>IF(ISERROR(('A4-FinPerf RE'!D7-'A4-FinPerf RE'!C7)/'A4-FinPerf RE'!C7),0,(('A4-FinPerf RE'!D7-'A4-FinPerf RE'!C7)/'A4-FinPerf RE'!C7))</f>
        <v>0</v>
      </c>
      <c r="F93" s="2023">
        <f>IF(ISERROR(('A4-FinPerf RE'!E7-'A4-FinPerf RE'!D7)/'A4-FinPerf RE'!D7),0,(('A4-FinPerf RE'!E7-'A4-FinPerf RE'!D7)/'A4-FinPerf RE'!D7))</f>
        <v>0</v>
      </c>
      <c r="G93" s="2025">
        <f>IF(ISERROR(('A4-FinPerf RE'!F7-'A4-FinPerf RE'!E7)/'A4-FinPerf RE'!E7),0,(('A4-FinPerf RE'!F7-'A4-FinPerf RE'!E7)/'A4-FinPerf RE'!E7))</f>
        <v>0</v>
      </c>
      <c r="H93" s="2010">
        <f>IF(ISERROR(('A4-FinPerf RE'!G7-'A4-FinPerf RE'!F7)/'A4-FinPerf RE'!F7),0,(('A4-FinPerf RE'!G7-'A4-FinPerf RE'!F7)/'A4-FinPerf RE'!F7))</f>
        <v>0</v>
      </c>
      <c r="I93" s="2010">
        <f>IF(ISERROR(('A4-FinPerf RE'!H7-'A4-FinPerf RE'!G7)/'A4-FinPerf RE'!G7),0,(('A4-FinPerf RE'!H7-'A4-FinPerf RE'!G7)/'A4-FinPerf RE'!G7))</f>
        <v>0</v>
      </c>
      <c r="J93" s="2023">
        <f>IF(ISERROR(('A4-FinPerf RE'!I7-'A4-FinPerf RE'!H7)/'A4-FinPerf RE'!H7),0,(('A4-FinPerf RE'!I7-'A4-FinPerf RE'!H7)/'A4-FinPerf RE'!H7))</f>
        <v>0</v>
      </c>
      <c r="K93" s="2025">
        <f>IF(ISERROR(('A4-FinPerf RE'!J7-'A4-FinPerf RE'!G7)/'A4-FinPerf RE'!G7),0,(('A4-FinPerf RE'!J7-'A4-FinPerf RE'!G7)/'A4-FinPerf RE'!G7))</f>
        <v>0</v>
      </c>
      <c r="L93" s="2010">
        <f>IF(ISERROR(('A4-FinPerf RE'!K7-'A4-FinPerf RE'!J7)/'A4-FinPerf RE'!J7),0,(('A4-FinPerf RE'!K7-'A4-FinPerf RE'!J7)/'A4-FinPerf RE'!J7))</f>
        <v>0</v>
      </c>
      <c r="M93" s="2011">
        <f>IF(ISERROR(('A4-FinPerf RE'!L7-'A4-FinPerf RE'!K7)/'A4-FinPerf RE'!K7),0,(('A4-FinPerf RE'!L7-'A4-FinPerf RE'!K7)/'A4-FinPerf RE'!K7))</f>
        <v>0</v>
      </c>
    </row>
    <row r="94" spans="1:14" x14ac:dyDescent="0.25">
      <c r="A94" s="336" t="s">
        <v>1856</v>
      </c>
      <c r="B94" s="921"/>
      <c r="C94" s="337"/>
      <c r="D94" s="1587"/>
      <c r="E94" s="1587">
        <f>IF(ISERROR((('A1-Sum'!C5+'A1-Sum'!C6)-('A1-Sum'!B5+'A1-Sum'!B6))/('A1-Sum'!B5+'A1-Sum'!B6)),0,((('A1-Sum'!C5+'A1-Sum'!C6)-('A1-Sum'!B5+'A1-Sum'!B6))/('A1-Sum'!B5+'A1-Sum'!B6)))</f>
        <v>-0.11850381907227538</v>
      </c>
      <c r="F94" s="2015">
        <f>IF(ISERROR((('A1-Sum'!D5+'A1-Sum'!D6)-('A1-Sum'!C5+'A1-Sum'!C6))/('A1-Sum'!C5+'A1-Sum'!C6)),0,((('A1-Sum'!D5+'A1-Sum'!D6)-('A1-Sum'!C5+'A1-Sum'!C6))/('A1-Sum'!C5+'A1-Sum'!C6)))</f>
        <v>0.6031412364462031</v>
      </c>
      <c r="G94" s="2020">
        <f>IF(ISERROR((('A1-Sum'!E5+'A1-Sum'!E6)-('A1-Sum'!D5+'A1-Sum'!D6))/('A1-Sum'!D5+'A1-Sum'!D6)),0,((('A1-Sum'!E5+'A1-Sum'!E6)-('A1-Sum'!D5+'A1-Sum'!D6))/('A1-Sum'!D5+'A1-Sum'!D6)))</f>
        <v>-0.20971935704988254</v>
      </c>
      <c r="H94" s="1587">
        <f>IF(ISERROR((('A1-Sum'!F5+'A1-Sum'!F6)-('A1-Sum'!E5+'A1-Sum'!E6))/('A1-Sum'!E5+'A1-Sum'!E6)),0,((('A1-Sum'!F5+'A1-Sum'!F6)-('A1-Sum'!E5+'A1-Sum'!E6))/('A1-Sum'!E5+'A1-Sum'!E6)))</f>
        <v>0.47854990756283999</v>
      </c>
      <c r="I94" s="1587">
        <f>IF(ISERROR((('A1-Sum'!G5+'A1-Sum'!G6)-('A1-Sum'!F5+'A1-Sum'!F6))/('A1-Sum'!F5+'A1-Sum'!F6)),0,((('A1-Sum'!G5+'A1-Sum'!G6)-('A1-Sum'!F5+'A1-Sum'!F6))/('A1-Sum'!F5+'A1-Sum'!F6)))</f>
        <v>0</v>
      </c>
      <c r="J94" s="2015">
        <f>IF(ISERROR((('A1-Sum'!H5+'A1-Sum'!H6)-('A1-Sum'!G5+'A1-Sum'!G6))/('A1-Sum'!G5+'A1-Sum'!G6)),0,((('A1-Sum'!H5+'A1-Sum'!H6)-('A1-Sum'!G5+'A1-Sum'!G6))/('A1-Sum'!G5+'A1-Sum'!G6)))</f>
        <v>-0.48267735443700971</v>
      </c>
      <c r="K94" s="2020">
        <f>IF(ISERROR((('A1-Sum'!I5+'A1-Sum'!I6)-('A1-Sum'!F5+'A1-Sum'!F6))/('A1-Sum'!F5+'A1-Sum'!F6)),0,((('A1-Sum'!I5+'A1-Sum'!I6)-('A1-Sum'!F5+'A1-Sum'!F6))/('A1-Sum'!F5+'A1-Sum'!F6)))</f>
        <v>0.53805349186023066</v>
      </c>
      <c r="L94" s="1587">
        <f>IF(ISERROR((('A1-Sum'!J5+'A1-Sum'!J6)-('A1-Sum'!I5+'A1-Sum'!I6))/('A1-Sum'!I5+'A1-Sum'!I6)),0,((('A1-Sum'!J5+'A1-Sum'!J6)-('A1-Sum'!I5+'A1-Sum'!I6))/('A1-Sum'!I5+'A1-Sum'!I6)))</f>
        <v>5.9000000000000136E-2</v>
      </c>
      <c r="M94" s="1594">
        <f>IF(ISERROR((('A1-Sum'!K5+'A1-Sum'!K6)-('A1-Sum'!J5+'A1-Sum'!J6))/('A1-Sum'!J5+'A1-Sum'!J6)),0,((('A1-Sum'!K5+'A1-Sum'!K6)-('A1-Sum'!J5+'A1-Sum'!J6))/('A1-Sum'!J5+'A1-Sum'!J6)))</f>
        <v>5.5999999999999862E-2</v>
      </c>
    </row>
    <row r="95" spans="1:14" x14ac:dyDescent="0.25">
      <c r="A95" s="1568" t="s">
        <v>1857</v>
      </c>
      <c r="B95" s="1570"/>
      <c r="D95" s="293"/>
      <c r="E95" s="293"/>
      <c r="F95" s="2016"/>
      <c r="G95" s="1429"/>
      <c r="H95" s="967"/>
      <c r="I95" s="967"/>
      <c r="J95" s="2016"/>
      <c r="K95" s="1429"/>
      <c r="L95" s="967"/>
      <c r="M95" s="1586"/>
    </row>
    <row r="96" spans="1:14" x14ac:dyDescent="0.25">
      <c r="A96" s="201" t="s">
        <v>1858</v>
      </c>
      <c r="B96" s="1570"/>
      <c r="D96" s="2010"/>
      <c r="E96" s="2010">
        <f>IF(ISERROR(('A1-Sum'!C18-'A1-Sum'!B18)/'A1-Sum'!B18),0,(('A1-Sum'!C18-'A1-Sum'!B18)/'A1-Sum'!B18))</f>
        <v>0.30766881216080794</v>
      </c>
      <c r="F96" s="2023">
        <f>IF(ISERROR(('A1-Sum'!D18-'A1-Sum'!C18)/'A1-Sum'!C18),0,(('A1-Sum'!D18-'A1-Sum'!C18)/'A1-Sum'!C18))</f>
        <v>0.32033218169608502</v>
      </c>
      <c r="G96" s="2025">
        <f>IF(ISERROR(('A1-Sum'!E18-'A1-Sum'!D18)/'A1-Sum'!D18),0,(('A1-Sum'!E18-'A1-Sum'!D18)/'A1-Sum'!D18))</f>
        <v>-0.14501993017229753</v>
      </c>
      <c r="H96" s="2010">
        <f>IF(ISERROR(('A1-Sum'!F18-'A1-Sum'!E18)/'A1-Sum'!E18),0,(('A1-Sum'!F18-'A1-Sum'!E18)/'A1-Sum'!E18))</f>
        <v>-0.33508887418953437</v>
      </c>
      <c r="I96" s="2010">
        <f>IF(ISERROR(('A1-Sum'!G18-'A1-Sum'!F18)/'A1-Sum'!F18),0,(('A1-Sum'!G18-'A1-Sum'!F18)/'A1-Sum'!F18))</f>
        <v>0</v>
      </c>
      <c r="J96" s="2023">
        <f>IF(ISERROR(('A1-Sum'!H18-'A1-Sum'!G18)/'A1-Sum'!G18),0,(('A1-Sum'!H18-'A1-Sum'!G18)/'A1-Sum'!G18))</f>
        <v>-0.5132849559637076</v>
      </c>
      <c r="K96" s="2025">
        <f>IF(ISERROR(('A1-Sum'!I18-'A1-Sum'!F18)/'A1-Sum'!F18),0,(('A1-Sum'!I18-'A1-Sum'!F18)/'A1-Sum'!F18))</f>
        <v>0.74733254281793249</v>
      </c>
      <c r="L96" s="2010">
        <f>IF(ISERROR(('A1-Sum'!J18-'A1-Sum'!I18)/'A1-Sum'!I18),0,(('A1-Sum'!J18-'A1-Sum'!I18)/'A1-Sum'!I18))</f>
        <v>5.9000000000000039E-2</v>
      </c>
      <c r="M96" s="2011">
        <f>IF(ISERROR(('A1-Sum'!K18-'A1-Sum'!J18)/'A1-Sum'!J18),0,(('A1-Sum'!K18-'A1-Sum'!J18)/'A1-Sum'!J18))</f>
        <v>5.6000000000000077E-2</v>
      </c>
    </row>
    <row r="97" spans="1:13" x14ac:dyDescent="0.25">
      <c r="A97" s="201" t="s">
        <v>1859</v>
      </c>
      <c r="B97" s="1570"/>
      <c r="D97" s="2010"/>
      <c r="E97" s="2010">
        <f>IF(ISERROR(('A1-Sum'!C11-'A1-Sum'!B11)/'A1-Sum'!B11),0,(('A1-Sum'!C11-'A1-Sum'!B11)/'A1-Sum'!B11))</f>
        <v>-2.9489313389151724E-2</v>
      </c>
      <c r="F97" s="2023">
        <f>IF(ISERROR(('A1-Sum'!D11-'A1-Sum'!C11)/'A1-Sum'!C11),0,(('A1-Sum'!D11-'A1-Sum'!C11)/'A1-Sum'!C11))</f>
        <v>0.51378237238670643</v>
      </c>
      <c r="G97" s="2025">
        <f>IF(ISERROR(('A1-Sum'!E11-'A1-Sum'!D11)/'A1-Sum'!D11),0,(('A1-Sum'!E11-'A1-Sum'!D11)/'A1-Sum'!D11))</f>
        <v>4.3788534435525134E-2</v>
      </c>
      <c r="H97" s="2010">
        <f>IF(ISERROR(('A1-Sum'!F11-'A1-Sum'!E11)/'A1-Sum'!E11),0,(('A1-Sum'!F11-'A1-Sum'!E11)/'A1-Sum'!E11))</f>
        <v>-1.4180273931629874E-2</v>
      </c>
      <c r="I97" s="2010">
        <f>IF(ISERROR(('A1-Sum'!G11-'A1-Sum'!F11)/'A1-Sum'!F11),0,(('A1-Sum'!G11-'A1-Sum'!F11)/'A1-Sum'!F11))</f>
        <v>0</v>
      </c>
      <c r="J97" s="2023">
        <f>IF(ISERROR(('A1-Sum'!H11-'A1-Sum'!G11)/'A1-Sum'!G11),0,(('A1-Sum'!H11-'A1-Sum'!G11)/'A1-Sum'!G11))</f>
        <v>-0.42857225094990103</v>
      </c>
      <c r="K97" s="2025">
        <f>IF(ISERROR(('A1-Sum'!I11-'A1-Sum'!F11)/'A1-Sum'!F11),0,(('A1-Sum'!I11-'A1-Sum'!F11)/'A1-Sum'!F11))</f>
        <v>7.7682641836182828E-2</v>
      </c>
      <c r="L97" s="2010">
        <f>IF(ISERROR(('A1-Sum'!J11-'A1-Sum'!I11)/'A1-Sum'!I11),0,(('A1-Sum'!J11-'A1-Sum'!I11)/'A1-Sum'!I11))</f>
        <v>5.8999999999999789E-2</v>
      </c>
      <c r="M97" s="2011">
        <f>IF(ISERROR(('A1-Sum'!K11-'A1-Sum'!J11)/'A1-Sum'!J11),0,(('A1-Sum'!K11-'A1-Sum'!J11)/'A1-Sum'!J11))</f>
        <v>5.6000000000000279E-2</v>
      </c>
    </row>
    <row r="98" spans="1:13" x14ac:dyDescent="0.25">
      <c r="A98" s="201" t="s">
        <v>1860</v>
      </c>
      <c r="B98" s="1570"/>
      <c r="D98" s="2010"/>
      <c r="E98" s="2010">
        <f>IF(ISERROR(('SA1'!D82-'SA1'!C82)/'SA1'!C82),0,(('SA1'!D82-'SA1'!C82)/'SA1'!C82))</f>
        <v>0</v>
      </c>
      <c r="F98" s="2023">
        <f>IF(ISERROR(('SA1'!E82-'SA1'!D82)/'SA1'!D82),0,(('SA1'!E82-'SA1'!D82)/'SA1'!D82))</f>
        <v>0</v>
      </c>
      <c r="G98" s="2025">
        <f>IF(ISERROR(('SA1'!F82-'SA1'!E82)/'SA1'!E82),0,(('SA1'!F82-'SA1'!E82)/'SA1'!E82))</f>
        <v>0</v>
      </c>
      <c r="H98" s="2010">
        <f>IF(ISERROR(('SA1'!G82-'SA1'!F82)/'SA1'!F82),0,(('SA1'!G82-'SA1'!F82)/'SA1'!F82))</f>
        <v>0</v>
      </c>
      <c r="I98" s="2010">
        <f>IF(ISERROR(('SA1'!H82-'SA1'!G82)/'SA1'!G82),0,(('SA1'!H82-'SA1'!G82)/'SA1'!G82))</f>
        <v>0</v>
      </c>
      <c r="J98" s="2023">
        <f>IF(ISERROR(('SA1'!I82-'SA1'!H82)/'SA1'!H82),0,(('SA1'!I82-'SA1'!H82)/'SA1'!H82))</f>
        <v>0</v>
      </c>
      <c r="K98" s="2025">
        <f>IF(ISERROR(('SA1'!J82-'SA1'!G82)/'SA1'!G82),0,(('SA1'!J82-'SA1'!G82)/'SA1'!G82))</f>
        <v>0</v>
      </c>
      <c r="L98" s="2010">
        <f>IF(ISERROR(('SA1'!K82-'SA1'!J82)/'SA1'!J82),0,(('SA1'!K82-'SA1'!J82)/'SA1'!J82))</f>
        <v>0</v>
      </c>
      <c r="M98" s="2011">
        <f>IF(ISERROR(('SA1'!L82-'SA1'!K82)/'SA1'!K82),0,(('SA1'!L82-'SA1'!K82)/'SA1'!K82))</f>
        <v>0</v>
      </c>
    </row>
    <row r="99" spans="1:13" x14ac:dyDescent="0.25">
      <c r="A99" s="201" t="s">
        <v>1945</v>
      </c>
      <c r="B99" s="1570"/>
      <c r="D99" s="293"/>
      <c r="E99" s="293"/>
      <c r="F99" s="556">
        <f>IF(ISERROR('A1-Sum'!D11/('SA24'!D36+'SA24'!E36-'SA24'!C5)),0,('A1-Sum'!D11/('SA24'!D36+'SA24'!E36-'SA24'!C5)))</f>
        <v>419035.44588744588</v>
      </c>
      <c r="G99" s="2027">
        <f>IF(ISERROR('A1-Sum'!E11/('SA24'!F36-'SA24'!F5)),0,('A1-Sum'!E11/('SA24'!F36-'SA24'!F5)))</f>
        <v>194299.60576923078</v>
      </c>
      <c r="H99" s="967"/>
      <c r="I99" s="967"/>
      <c r="J99" s="2016"/>
      <c r="K99" s="2027">
        <f>IF(ISERROR('A1-Sum'!I11/('SA24'!I36-'SA24'!I5)),0,('A1-Sum'!I11/('SA24'!I36-'SA24'!I5)))</f>
        <v>231836.95490280777</v>
      </c>
      <c r="L99" s="967"/>
      <c r="M99" s="1586"/>
    </row>
    <row r="100" spans="1:13" x14ac:dyDescent="0.25">
      <c r="A100" s="201" t="s">
        <v>1861</v>
      </c>
      <c r="B100" s="1570"/>
      <c r="D100" s="293"/>
      <c r="E100" s="293"/>
      <c r="F100" s="556">
        <f>IF(ISERROR('A1-Sum'!D12/'SA24'!C5),0,('A1-Sum'!D12/'SA24'!C5))</f>
        <v>297270.96666666667</v>
      </c>
      <c r="G100" s="2027">
        <f>IF(ISERROR('A1-Sum'!E12/'SA24'!F5),0,('A1-Sum'!E12/'SA24'!F5))</f>
        <v>298308.125</v>
      </c>
      <c r="H100" s="967"/>
      <c r="I100" s="967"/>
      <c r="J100" s="2016"/>
      <c r="K100" s="2027">
        <f>IF(ISERROR('A1-Sum'!I12/'SA24'!I5),0,('A1-Sum'!I12/'SA24'!I5))</f>
        <v>288476.55500000005</v>
      </c>
      <c r="L100" s="967"/>
      <c r="M100" s="1586"/>
    </row>
    <row r="101" spans="1:13" x14ac:dyDescent="0.25">
      <c r="A101" s="201" t="s">
        <v>1862</v>
      </c>
      <c r="B101" s="1571"/>
      <c r="D101" s="2010">
        <f>'A9-Asset'!C84</f>
        <v>0</v>
      </c>
      <c r="E101" s="2010">
        <f>'A9-Asset'!D84</f>
        <v>1.6E-2</v>
      </c>
      <c r="F101" s="2023">
        <f>'A9-Asset'!E84</f>
        <v>1.2E-2</v>
      </c>
      <c r="G101" s="2025">
        <f>'A9-Asset'!F84</f>
        <v>8.9999999999999993E-3</v>
      </c>
      <c r="H101" s="2010">
        <f>'A9-Asset'!G84</f>
        <v>7.0000000000000001E-3</v>
      </c>
      <c r="I101" s="2010">
        <f>'A9-Asset'!H84</f>
        <v>7.0000000000000001E-3</v>
      </c>
      <c r="J101" s="2023"/>
      <c r="K101" s="2025">
        <f>'A9-Asset'!I84</f>
        <v>1.0999999999999999E-2</v>
      </c>
      <c r="L101" s="2010">
        <f>'A9-Asset'!J84</f>
        <v>1.0999999999999999E-2</v>
      </c>
      <c r="M101" s="2011">
        <f>'A9-Asset'!K84</f>
        <v>1.0999999999999999E-2</v>
      </c>
    </row>
    <row r="102" spans="1:13" x14ac:dyDescent="0.25">
      <c r="A102" s="201" t="s">
        <v>1863</v>
      </c>
      <c r="B102" s="1571"/>
      <c r="D102" s="2010">
        <f>'A9-Asset'!C85</f>
        <v>0</v>
      </c>
      <c r="E102" s="2010">
        <f>'A9-Asset'!D85</f>
        <v>1.55</v>
      </c>
      <c r="F102" s="2023">
        <f>'A9-Asset'!E85</f>
        <v>0</v>
      </c>
      <c r="G102" s="2025">
        <f>'A9-Asset'!F85</f>
        <v>0.16</v>
      </c>
      <c r="H102" s="2010">
        <f>'A9-Asset'!G85</f>
        <v>0.01</v>
      </c>
      <c r="I102" s="2010">
        <f>'A9-Asset'!H85</f>
        <v>0.01</v>
      </c>
      <c r="J102" s="2023"/>
      <c r="K102" s="2025">
        <f>'A9-Asset'!I85</f>
        <v>0.01</v>
      </c>
      <c r="L102" s="2010">
        <f>'A9-Asset'!J85</f>
        <v>0.01</v>
      </c>
      <c r="M102" s="2011">
        <f>'A9-Asset'!K85</f>
        <v>0.01</v>
      </c>
    </row>
    <row r="103" spans="1:13" x14ac:dyDescent="0.25">
      <c r="A103" s="336" t="s">
        <v>1957</v>
      </c>
      <c r="B103" s="1582"/>
      <c r="C103" s="337"/>
      <c r="D103" s="1587">
        <f>'SA10'!D11</f>
        <v>0.97191618288587722</v>
      </c>
      <c r="E103" s="1587">
        <f>'SA10'!E11</f>
        <v>0</v>
      </c>
      <c r="F103" s="2015">
        <f>'SA10'!F11</f>
        <v>2.267090804255401</v>
      </c>
      <c r="G103" s="2020">
        <f>'SA10'!G11</f>
        <v>1.0914147655611783</v>
      </c>
      <c r="H103" s="1587">
        <f>'SA10'!H11</f>
        <v>0.73816565810768353</v>
      </c>
      <c r="I103" s="1587">
        <f>'SA10'!I11</f>
        <v>0.73816565810768353</v>
      </c>
      <c r="J103" s="1587">
        <f>'SA10'!J11</f>
        <v>0</v>
      </c>
      <c r="K103" s="2020">
        <f>'SA10'!K11</f>
        <v>0.50297184551854435</v>
      </c>
      <c r="L103" s="1587">
        <f>'SA10'!L11</f>
        <v>0.50297184551854424</v>
      </c>
      <c r="M103" s="1594">
        <f>'SA10'!M11</f>
        <v>0.50297184551854435</v>
      </c>
    </row>
    <row r="104" spans="1:13" x14ac:dyDescent="0.25">
      <c r="A104" s="1568" t="s">
        <v>1864</v>
      </c>
      <c r="B104" s="1570"/>
      <c r="D104" s="293"/>
      <c r="E104" s="293"/>
      <c r="F104" s="2016"/>
      <c r="G104" s="1429"/>
      <c r="H104" s="967"/>
      <c r="I104" s="967"/>
      <c r="J104" s="2016"/>
      <c r="K104" s="1429"/>
      <c r="L104" s="967"/>
      <c r="M104" s="1586"/>
    </row>
    <row r="105" spans="1:13" x14ac:dyDescent="0.25">
      <c r="A105" s="201" t="s">
        <v>1865</v>
      </c>
      <c r="B105" s="585"/>
      <c r="D105" s="2014">
        <f>'A1-Sum'!B29+'A1-Sum'!B31</f>
        <v>0</v>
      </c>
      <c r="E105" s="324">
        <f>'A1-Sum'!C29+'A1-Sum'!C31</f>
        <v>0</v>
      </c>
      <c r="F105" s="2017">
        <f>'A1-Sum'!D29+'A1-Sum'!D31</f>
        <v>0</v>
      </c>
      <c r="G105" s="2014">
        <f>'A1-Sum'!E29+'A1-Sum'!E31</f>
        <v>0</v>
      </c>
      <c r="H105" s="324">
        <f>'A1-Sum'!F29+'A1-Sum'!F31</f>
        <v>0</v>
      </c>
      <c r="I105" s="324">
        <f>'A1-Sum'!G29+'A1-Sum'!G31</f>
        <v>0</v>
      </c>
      <c r="J105" s="2017">
        <f>'A1-Sum'!H29+'A1-Sum'!H31</f>
        <v>0</v>
      </c>
      <c r="K105" s="2014">
        <f>'A1-Sum'!I29+'A1-Sum'!I31</f>
        <v>0</v>
      </c>
      <c r="L105" s="324">
        <f>'A1-Sum'!J29+'A1-Sum'!J31</f>
        <v>0</v>
      </c>
      <c r="M105" s="1592">
        <f>'A1-Sum'!K29+'A1-Sum'!K31</f>
        <v>0</v>
      </c>
    </row>
    <row r="106" spans="1:13" x14ac:dyDescent="0.25">
      <c r="A106" s="201" t="s">
        <v>1866</v>
      </c>
      <c r="B106" s="585"/>
      <c r="D106" s="2014">
        <f>'A1-Sum'!B30</f>
        <v>0</v>
      </c>
      <c r="E106" s="324">
        <f>'A1-Sum'!C30</f>
        <v>0</v>
      </c>
      <c r="F106" s="2017">
        <f>'A1-Sum'!D30</f>
        <v>0</v>
      </c>
      <c r="G106" s="2014">
        <f>'A1-Sum'!E30</f>
        <v>0</v>
      </c>
      <c r="H106" s="324">
        <f>'A1-Sum'!F30</f>
        <v>0</v>
      </c>
      <c r="I106" s="324">
        <f>'A1-Sum'!G30</f>
        <v>0</v>
      </c>
      <c r="J106" s="2017">
        <f>'A1-Sum'!H30</f>
        <v>0</v>
      </c>
      <c r="K106" s="2014">
        <f>'A1-Sum'!I30</f>
        <v>0</v>
      </c>
      <c r="L106" s="324">
        <f>'A1-Sum'!J30</f>
        <v>0</v>
      </c>
      <c r="M106" s="1592">
        <f>'A1-Sum'!K30</f>
        <v>0</v>
      </c>
    </row>
    <row r="107" spans="1:13" x14ac:dyDescent="0.25">
      <c r="A107" s="201" t="s">
        <v>1867</v>
      </c>
      <c r="B107" s="585"/>
      <c r="D107" s="2014">
        <f>'A1-Sum'!B28</f>
        <v>44966000</v>
      </c>
      <c r="E107" s="324">
        <f>'A1-Sum'!C28</f>
        <v>16769034.030000003</v>
      </c>
      <c r="F107" s="2017">
        <f>'A1-Sum'!D28</f>
        <v>113650291.00000001</v>
      </c>
      <c r="G107" s="2014">
        <f>'A1-Sum'!E28</f>
        <v>110819751.63</v>
      </c>
      <c r="H107" s="324">
        <f>'A1-Sum'!F28</f>
        <v>111340502.91000003</v>
      </c>
      <c r="I107" s="324">
        <f>'A1-Sum'!G28</f>
        <v>111340502.91000003</v>
      </c>
      <c r="J107" s="2017">
        <f>'A1-Sum'!H28</f>
        <v>17831558.759999998</v>
      </c>
      <c r="K107" s="2014">
        <f>'A1-Sum'!I28</f>
        <v>116339135</v>
      </c>
      <c r="L107" s="324">
        <f>'A1-Sum'!J28</f>
        <v>122737787.425</v>
      </c>
      <c r="M107" s="1592">
        <f>'A1-Sum'!K28</f>
        <v>129242890.15852499</v>
      </c>
    </row>
    <row r="108" spans="1:13" x14ac:dyDescent="0.25">
      <c r="A108" s="201" t="s">
        <v>1868</v>
      </c>
      <c r="B108" s="1572"/>
      <c r="D108" s="1588">
        <f>IF(ISERROR(('A1-Sum'!B29+'A1-Sum'!B31)/('A1-Sum'!B32-'A1-Sum'!B28)),0,(('A1-Sum'!B29+'A1-Sum'!B31)/('A1-Sum'!B32-'A1-Sum'!B28)))</f>
        <v>0</v>
      </c>
      <c r="E108" s="1588">
        <f>IF(ISERROR(('A1-Sum'!C29+'A1-Sum'!C31)/('A1-Sum'!C32-'A1-Sum'!C28)),0,(('A1-Sum'!C29+'A1-Sum'!C31)/('A1-Sum'!C32-'A1-Sum'!C28)))</f>
        <v>0</v>
      </c>
      <c r="F108" s="2018">
        <f>IF(ISERROR(('A1-Sum'!D29+'A1-Sum'!D31)/('A1-Sum'!D32-'A1-Sum'!D28)),0,(('A1-Sum'!D29+'A1-Sum'!D31)/('A1-Sum'!D32-'A1-Sum'!D28)))</f>
        <v>0</v>
      </c>
      <c r="G108" s="2021">
        <f>IF(ISERROR(('A1-Sum'!E29+'A1-Sum'!E31)/('A1-Sum'!E32-'A1-Sum'!E28)),0,(('A1-Sum'!E29+'A1-Sum'!E31)/('A1-Sum'!E32-'A1-Sum'!E28)))</f>
        <v>0</v>
      </c>
      <c r="H108" s="1588">
        <f>IF(ISERROR(('A1-Sum'!F29+'A1-Sum'!F31)/('A1-Sum'!F32-'A1-Sum'!F28)),0,(('A1-Sum'!F29+'A1-Sum'!F31)/('A1-Sum'!F32-'A1-Sum'!F28)))</f>
        <v>0</v>
      </c>
      <c r="I108" s="1588">
        <f>IF(ISERROR(('A1-Sum'!G29+'A1-Sum'!G31)/('A1-Sum'!G32-'A1-Sum'!G28)),0,(('A1-Sum'!G29+'A1-Sum'!G31)/('A1-Sum'!G32-'A1-Sum'!G28)))</f>
        <v>0</v>
      </c>
      <c r="J108" s="2018">
        <f>IF(ISERROR(('A1-Sum'!H29+'A1-Sum'!H31)/('A1-Sum'!H32-'A1-Sum'!H28)),0,(('A1-Sum'!H29+'A1-Sum'!H31)/('A1-Sum'!H32-'A1-Sum'!H28)))</f>
        <v>0</v>
      </c>
      <c r="K108" s="2021">
        <f>IF(ISERROR(('A1-Sum'!I29+'A1-Sum'!I31)/('A1-Sum'!I32-'A1-Sum'!I28)),0,(('A1-Sum'!I29+'A1-Sum'!I31)/('A1-Sum'!I32-'A1-Sum'!I28)))</f>
        <v>0</v>
      </c>
      <c r="L108" s="1588">
        <f>IF(ISERROR(('A1-Sum'!J29+'A1-Sum'!J31)/('A1-Sum'!J32-'A1-Sum'!J28)),0,(('A1-Sum'!J29+'A1-Sum'!J31)/('A1-Sum'!J32-'A1-Sum'!J28)))</f>
        <v>0</v>
      </c>
      <c r="M108" s="1595">
        <f>IF(ISERROR(('A1-Sum'!K29+'A1-Sum'!K31)/('A1-Sum'!K32-'A1-Sum'!K28)),0,(('A1-Sum'!K29+'A1-Sum'!K31)/('A1-Sum'!K32-'A1-Sum'!K28)))</f>
        <v>0</v>
      </c>
    </row>
    <row r="109" spans="1:13" x14ac:dyDescent="0.25">
      <c r="A109" s="201" t="s">
        <v>1869</v>
      </c>
      <c r="B109" s="1572"/>
      <c r="D109" s="1588">
        <f>IF(ISERROR('A1-Sum'!B30/('A1-Sum'!B32-'A1-Sum'!B28)),0,('A1-Sum'!B30/('A1-Sum'!B32-'A1-Sum'!B28)))</f>
        <v>0</v>
      </c>
      <c r="E109" s="1588">
        <f>IF(ISERROR('A1-Sum'!C30/('A1-Sum'!C32-'A1-Sum'!C28)),0,('A1-Sum'!C30/('A1-Sum'!C32-'A1-Sum'!C28)))</f>
        <v>0</v>
      </c>
      <c r="F109" s="2018">
        <f>IF(ISERROR('A1-Sum'!D30/('A1-Sum'!D32-'A1-Sum'!D28)),0,('A1-Sum'!D30/('A1-Sum'!D32-'A1-Sum'!D28)))</f>
        <v>0</v>
      </c>
      <c r="G109" s="2021">
        <f>IF(ISERROR('A1-Sum'!E30/('A1-Sum'!E32-'A1-Sum'!E28)),0,('A1-Sum'!E30/('A1-Sum'!E32-'A1-Sum'!E28)))</f>
        <v>0</v>
      </c>
      <c r="H109" s="1588">
        <f>IF(ISERROR('A1-Sum'!F30/('A1-Sum'!F32-'A1-Sum'!F28)),0,('A1-Sum'!F30/('A1-Sum'!F32-'A1-Sum'!F28)))</f>
        <v>0</v>
      </c>
      <c r="I109" s="1588">
        <f>IF(ISERROR('A1-Sum'!G30/('A1-Sum'!G32-'A1-Sum'!G28)),0,('A1-Sum'!G30/('A1-Sum'!G32-'A1-Sum'!G28)))</f>
        <v>0</v>
      </c>
      <c r="J109" s="2018">
        <f>IF(ISERROR('A1-Sum'!H30/('A1-Sum'!H32-'A1-Sum'!H28)),0,('A1-Sum'!H30/('A1-Sum'!H32-'A1-Sum'!H28)))</f>
        <v>0</v>
      </c>
      <c r="K109" s="2021">
        <f>IF(ISERROR('A1-Sum'!I30/('A1-Sum'!I32-'A1-Sum'!I28)),0,('A1-Sum'!I30/('A1-Sum'!I32-'A1-Sum'!I28)))</f>
        <v>0</v>
      </c>
      <c r="L109" s="1588">
        <f>IF(ISERROR('A1-Sum'!J30/('A1-Sum'!J32-'A1-Sum'!J28)),0,('A1-Sum'!J30/('A1-Sum'!J32-'A1-Sum'!J28)))</f>
        <v>0</v>
      </c>
      <c r="M109" s="1595">
        <f>IF(ISERROR('A1-Sum'!K30/('A1-Sum'!K32-'A1-Sum'!K28)),0,('A1-Sum'!K30/('A1-Sum'!K32-'A1-Sum'!K28)))</f>
        <v>0</v>
      </c>
    </row>
    <row r="110" spans="1:13" x14ac:dyDescent="0.25">
      <c r="A110" s="1580" t="s">
        <v>1870</v>
      </c>
      <c r="B110" s="1582"/>
      <c r="C110" s="337"/>
      <c r="D110" s="2012">
        <f>IF(ISERROR('A1-Sum'!B28/'A1-Sum'!B32),0,('A1-Sum'!B28/'A1-Sum'!B32))</f>
        <v>1</v>
      </c>
      <c r="E110" s="2012">
        <f>IF(ISERROR('A1-Sum'!C28/'A1-Sum'!C32),0,('A1-Sum'!C28/'A1-Sum'!C32))</f>
        <v>1</v>
      </c>
      <c r="F110" s="2019">
        <f>IF(ISERROR('A1-Sum'!D28/'A1-Sum'!D32),0,('A1-Sum'!D28/'A1-Sum'!D32))</f>
        <v>1</v>
      </c>
      <c r="G110" s="2022">
        <f>IF(ISERROR('A1-Sum'!E28/'A1-Sum'!E32),0,('A1-Sum'!E28/'A1-Sum'!E32))</f>
        <v>1</v>
      </c>
      <c r="H110" s="2012">
        <f>IF(ISERROR('A1-Sum'!F28/'A1-Sum'!F32),0,('A1-Sum'!F28/'A1-Sum'!F32))</f>
        <v>1</v>
      </c>
      <c r="I110" s="2012">
        <f>IF(ISERROR('A1-Sum'!G28/'A1-Sum'!G32),0,('A1-Sum'!G28/'A1-Sum'!G32))</f>
        <v>1</v>
      </c>
      <c r="J110" s="2019">
        <f>IF(ISERROR('A1-Sum'!H28/'A1-Sum'!H32),0,('A1-Sum'!H28/'A1-Sum'!H32))</f>
        <v>1</v>
      </c>
      <c r="K110" s="2022">
        <f>IF(ISERROR('A1-Sum'!I28/'A1-Sum'!I32),0,('A1-Sum'!I28/'A1-Sum'!I32))</f>
        <v>1</v>
      </c>
      <c r="L110" s="2012">
        <f>IF(ISERROR('A1-Sum'!J28/'A1-Sum'!J32),0,('A1-Sum'!J28/'A1-Sum'!J32))</f>
        <v>1</v>
      </c>
      <c r="M110" s="2013">
        <f>IF(ISERROR('A1-Sum'!K28/'A1-Sum'!K32),0,('A1-Sum'!K28/'A1-Sum'!K32))</f>
        <v>1</v>
      </c>
    </row>
    <row r="111" spans="1:13" x14ac:dyDescent="0.25">
      <c r="A111" s="1568" t="s">
        <v>1871</v>
      </c>
      <c r="B111" s="1570"/>
      <c r="D111" s="293"/>
      <c r="E111" s="293"/>
      <c r="F111" s="2016"/>
      <c r="G111" s="1429"/>
      <c r="H111" s="967"/>
      <c r="I111" s="967"/>
      <c r="J111" s="2016"/>
      <c r="K111" s="1429"/>
      <c r="L111" s="967"/>
      <c r="M111" s="1586"/>
    </row>
    <row r="112" spans="1:13" x14ac:dyDescent="0.25">
      <c r="A112" s="246" t="s">
        <v>1872</v>
      </c>
      <c r="B112" s="585"/>
      <c r="D112" s="2014">
        <f>'A1-Sum'!B27</f>
        <v>44966000</v>
      </c>
      <c r="E112" s="324">
        <f>'A1-Sum'!C27</f>
        <v>16769034.030000003</v>
      </c>
      <c r="F112" s="2017">
        <f>'A1-Sum'!D27</f>
        <v>113650291.00000001</v>
      </c>
      <c r="G112" s="2014">
        <f>'A1-Sum'!E27</f>
        <v>110819751.63</v>
      </c>
      <c r="H112" s="324">
        <f>'A1-Sum'!F27</f>
        <v>111340502.91000003</v>
      </c>
      <c r="I112" s="324">
        <f>'A1-Sum'!G27</f>
        <v>111340502.91000003</v>
      </c>
      <c r="J112" s="2017">
        <f>'A1-Sum'!H27</f>
        <v>17831558.759999998</v>
      </c>
      <c r="K112" s="2014">
        <f>'A1-Sum'!I27</f>
        <v>116339135</v>
      </c>
      <c r="L112" s="324">
        <f>'A1-Sum'!J27</f>
        <v>122737787.425</v>
      </c>
      <c r="M112" s="1592">
        <f>'A1-Sum'!K27</f>
        <v>129242890.15852499</v>
      </c>
    </row>
    <row r="113" spans="1:13" x14ac:dyDescent="0.25">
      <c r="A113" s="246" t="s">
        <v>1873</v>
      </c>
      <c r="B113" s="585"/>
      <c r="D113" s="2014">
        <f>'A1-Sum'!B55</f>
        <v>0</v>
      </c>
      <c r="E113" s="324">
        <f>'A1-Sum'!C55</f>
        <v>0</v>
      </c>
      <c r="F113" s="2017">
        <f>'A1-Sum'!D55</f>
        <v>0</v>
      </c>
      <c r="G113" s="2014">
        <f>'A1-Sum'!E55</f>
        <v>0</v>
      </c>
      <c r="H113" s="324">
        <f>'A1-Sum'!F55</f>
        <v>0</v>
      </c>
      <c r="I113" s="324">
        <f>'A1-Sum'!G55</f>
        <v>0</v>
      </c>
      <c r="J113" s="2017">
        <f>'A1-Sum'!H55</f>
        <v>0</v>
      </c>
      <c r="K113" s="2014">
        <f>'A1-Sum'!I55</f>
        <v>0</v>
      </c>
      <c r="L113" s="324">
        <f>'A1-Sum'!J55</f>
        <v>0</v>
      </c>
      <c r="M113" s="1592">
        <f>'A1-Sum'!K55</f>
        <v>0</v>
      </c>
    </row>
    <row r="114" spans="1:13" x14ac:dyDescent="0.25">
      <c r="A114" s="1580" t="s">
        <v>1874</v>
      </c>
      <c r="B114" s="1582"/>
      <c r="C114" s="337"/>
      <c r="D114" s="1587">
        <f>IF(ISERROR('A1-Sum'!B55/'A1-Sum'!B32),0,('A1-Sum'!B55/'A1-Sum'!B32))</f>
        <v>0</v>
      </c>
      <c r="E114" s="1587">
        <f>IF(ISERROR('A1-Sum'!C55/'A1-Sum'!C32),0,('A1-Sum'!C55/'A1-Sum'!C32))</f>
        <v>0</v>
      </c>
      <c r="F114" s="2015">
        <f>IF(ISERROR('A1-Sum'!D55/'A1-Sum'!D32),0,('A1-Sum'!D55/'A1-Sum'!D32))</f>
        <v>0</v>
      </c>
      <c r="G114" s="2020">
        <f>IF(ISERROR('A1-Sum'!E55/'A1-Sum'!E32),0,('A1-Sum'!E55/'A1-Sum'!E32))</f>
        <v>0</v>
      </c>
      <c r="H114" s="1587">
        <f>IF(ISERROR('A1-Sum'!F55/'A1-Sum'!F32),0,('A1-Sum'!F55/'A1-Sum'!F32))</f>
        <v>0</v>
      </c>
      <c r="I114" s="1587">
        <f>IF(ISERROR('A1-Sum'!G55/'A1-Sum'!G32),0,('A1-Sum'!G55/'A1-Sum'!G32))</f>
        <v>0</v>
      </c>
      <c r="J114" s="1594">
        <f>IF(ISERROR('A1-Sum'!H55/'A1-Sum'!H32),0,('A1-Sum'!H55/'A1-Sum'!H32))</f>
        <v>0</v>
      </c>
      <c r="K114" s="2657">
        <f>IF(ISERROR('A1-Sum'!I55/'A1-Sum'!I32),0,('A1-Sum'!I55/'A1-Sum'!I32))</f>
        <v>0</v>
      </c>
      <c r="L114" s="1587">
        <f>IF(ISERROR('A1-Sum'!J55/'A1-Sum'!J32),0,('A1-Sum'!J55/'A1-Sum'!J32))</f>
        <v>0</v>
      </c>
      <c r="M114" s="1587">
        <f>IF(ISERROR('A1-Sum'!K55/'A1-Sum'!K32),0,('A1-Sum'!K55/'A1-Sum'!K32))</f>
        <v>0</v>
      </c>
    </row>
    <row r="115" spans="1:13" x14ac:dyDescent="0.25">
      <c r="A115" s="1568" t="s">
        <v>697</v>
      </c>
      <c r="B115" s="1570"/>
      <c r="D115" s="293"/>
      <c r="E115" s="293"/>
      <c r="F115" s="2016"/>
      <c r="G115" s="1429"/>
      <c r="H115" s="967"/>
      <c r="I115" s="967"/>
      <c r="J115" s="2016"/>
      <c r="K115" s="1429"/>
      <c r="L115" s="967"/>
      <c r="M115" s="1586"/>
    </row>
    <row r="116" spans="1:13" x14ac:dyDescent="0.25">
      <c r="A116" s="246" t="s">
        <v>1875</v>
      </c>
      <c r="B116" s="1572"/>
      <c r="D116" s="1588">
        <f>'SA10'!D10</f>
        <v>0.7415978594918099</v>
      </c>
      <c r="E116" s="1588">
        <f>'SA10'!E10</f>
        <v>0.16969381448806115</v>
      </c>
      <c r="F116" s="2018">
        <f>'SA10'!F10</f>
        <v>1.5943923025864746</v>
      </c>
      <c r="G116" s="2021">
        <f>'SA10'!G10</f>
        <v>0.13754505253632618</v>
      </c>
      <c r="H116" s="1588">
        <f>'SA10'!H10</f>
        <v>9.2462899628684564E-2</v>
      </c>
      <c r="I116" s="1588">
        <f>'SA10'!I10</f>
        <v>9.2462899628684564E-2</v>
      </c>
      <c r="J116" s="2018">
        <f>'SA10'!J10</f>
        <v>0.65011841771766932</v>
      </c>
      <c r="K116" s="2021">
        <f>'SA10'!K10</f>
        <v>0.4421711510399004</v>
      </c>
      <c r="L116" s="1588">
        <f>'SA10'!L10</f>
        <v>0.4421711510399004</v>
      </c>
      <c r="M116" s="1595">
        <f>'SA10'!M10</f>
        <v>0.44217115103990029</v>
      </c>
    </row>
    <row r="117" spans="1:13" x14ac:dyDescent="0.25">
      <c r="A117" s="1580" t="s">
        <v>1876</v>
      </c>
      <c r="B117" s="1583"/>
      <c r="C117" s="337"/>
      <c r="D117" s="1590">
        <f>'SA10'!D7</f>
        <v>4.0149530150846955</v>
      </c>
      <c r="E117" s="1590">
        <f>'SA10'!E7</f>
        <v>0.22046553598043853</v>
      </c>
      <c r="F117" s="2024">
        <f>'SA10'!F7</f>
        <v>1.1502477588623277</v>
      </c>
      <c r="G117" s="2026">
        <f>'SA10'!G7</f>
        <v>1.1151940541293328</v>
      </c>
      <c r="H117" s="1590">
        <f>'SA10'!H7</f>
        <v>-6.9240223427525258</v>
      </c>
      <c r="I117" s="1590">
        <f>'SA10'!I7</f>
        <v>-6.9240223427525258</v>
      </c>
      <c r="J117" s="2024">
        <f>'SA10'!J7</f>
        <v>6.3249452908606587</v>
      </c>
      <c r="K117" s="2026">
        <f>'SA10'!K7</f>
        <v>3.067240996087006E-3</v>
      </c>
      <c r="L117" s="1590">
        <f>'SA10'!L7</f>
        <v>1.6374760930003385E-2</v>
      </c>
      <c r="M117" s="1596">
        <f>'SA10'!M7</f>
        <v>3.9084043361803197E-2</v>
      </c>
    </row>
    <row r="118" spans="1:13" x14ac:dyDescent="0.25">
      <c r="A118" s="1568" t="s">
        <v>1272</v>
      </c>
      <c r="B118" s="1570"/>
      <c r="D118" s="293"/>
      <c r="E118" s="293"/>
      <c r="F118" s="2016"/>
      <c r="G118" s="1429"/>
      <c r="H118" s="967"/>
      <c r="I118" s="967"/>
      <c r="J118" s="2016"/>
      <c r="K118" s="1429"/>
      <c r="L118" s="967"/>
      <c r="M118" s="1586"/>
    </row>
    <row r="119" spans="1:13" ht="5.0999999999999996" customHeight="1" x14ac:dyDescent="0.25">
      <c r="A119" s="1569"/>
      <c r="B119" s="1572"/>
      <c r="D119" s="2010"/>
      <c r="E119" s="2010"/>
      <c r="F119" s="2023"/>
      <c r="G119" s="2025"/>
      <c r="H119" s="2010"/>
      <c r="I119" s="2010"/>
      <c r="J119" s="2023"/>
      <c r="K119" s="2025"/>
      <c r="L119" s="2010"/>
      <c r="M119" s="2011"/>
    </row>
    <row r="120" spans="1:13" x14ac:dyDescent="0.25">
      <c r="A120" s="1569" t="s">
        <v>1877</v>
      </c>
      <c r="B120" s="1570"/>
      <c r="D120" s="1593"/>
      <c r="E120" s="293"/>
      <c r="F120" s="2016"/>
      <c r="G120" s="1429"/>
      <c r="H120" s="967"/>
      <c r="I120" s="967"/>
      <c r="J120" s="2016"/>
      <c r="K120" s="2027">
        <f>'SA8'!F6</f>
        <v>0</v>
      </c>
      <c r="L120" s="967"/>
      <c r="M120" s="1586"/>
    </row>
    <row r="121" spans="1:13" x14ac:dyDescent="0.25">
      <c r="A121" s="1569" t="s">
        <v>1878</v>
      </c>
      <c r="B121" s="1572"/>
      <c r="D121" s="2010">
        <f>'SA8'!C7</f>
        <v>0</v>
      </c>
      <c r="E121" s="2010">
        <f>'SA8'!D7</f>
        <v>0</v>
      </c>
      <c r="F121" s="2023">
        <f>'SA8'!E7</f>
        <v>0</v>
      </c>
      <c r="G121" s="2025">
        <f>'SA8'!F7</f>
        <v>0</v>
      </c>
      <c r="H121" s="2010">
        <f>'SA8'!G7</f>
        <v>0</v>
      </c>
      <c r="I121" s="2010">
        <f>'SA8'!H7</f>
        <v>0</v>
      </c>
      <c r="J121" s="2023">
        <f>'SA8'!I7</f>
        <v>0</v>
      </c>
      <c r="K121" s="2025">
        <f>'SA8'!J7</f>
        <v>0</v>
      </c>
      <c r="L121" s="2010">
        <f>'SA8'!K7</f>
        <v>0</v>
      </c>
      <c r="M121" s="2011">
        <f>'SA8'!L7</f>
        <v>0</v>
      </c>
    </row>
    <row r="122" spans="1:13" x14ac:dyDescent="0.25">
      <c r="A122" s="1584" t="s">
        <v>1879</v>
      </c>
      <c r="B122" s="1582"/>
      <c r="C122" s="337"/>
      <c r="D122" s="1587">
        <f>'SA10'!D13</f>
        <v>0</v>
      </c>
      <c r="E122" s="1587">
        <f>'SA10'!E13</f>
        <v>0</v>
      </c>
      <c r="F122" s="2015">
        <f>'SA10'!F13</f>
        <v>0</v>
      </c>
      <c r="G122" s="2020">
        <f>'SA10'!G13</f>
        <v>0</v>
      </c>
      <c r="H122" s="1587">
        <f>'SA10'!H13</f>
        <v>0</v>
      </c>
      <c r="I122" s="1587">
        <f>'SA10'!I13</f>
        <v>0</v>
      </c>
      <c r="J122" s="2015">
        <f>'SA10'!J13</f>
        <v>0</v>
      </c>
      <c r="K122" s="2020">
        <f>'SA10'!K13</f>
        <v>0</v>
      </c>
      <c r="L122" s="1587">
        <f>'SA10'!L13</f>
        <v>0</v>
      </c>
      <c r="M122" s="1594">
        <f>'SA10'!M13</f>
        <v>0</v>
      </c>
    </row>
    <row r="123" spans="1:13" x14ac:dyDescent="0.25">
      <c r="A123" s="1568" t="s">
        <v>747</v>
      </c>
      <c r="B123" s="1570"/>
      <c r="D123" s="293"/>
      <c r="E123" s="293"/>
      <c r="F123" s="2016"/>
      <c r="G123" s="1429"/>
      <c r="H123" s="967"/>
      <c r="I123" s="967"/>
      <c r="J123" s="2016"/>
      <c r="K123" s="1429"/>
      <c r="L123" s="967"/>
      <c r="M123" s="554"/>
    </row>
    <row r="124" spans="1:13" x14ac:dyDescent="0.25">
      <c r="A124" s="1580" t="s">
        <v>1705</v>
      </c>
      <c r="B124" s="1585"/>
      <c r="C124" s="337"/>
      <c r="D124" s="1590">
        <f>'A8-ResRecon'!C19</f>
        <v>26958000</v>
      </c>
      <c r="E124" s="1590">
        <f>'A8-ResRecon'!D19</f>
        <v>-52817701</v>
      </c>
      <c r="F124" s="2024">
        <f>'A8-ResRecon'!E19</f>
        <v>-99926889</v>
      </c>
      <c r="G124" s="2026">
        <f>'A8-ResRecon'!F19</f>
        <v>21490723.829999983</v>
      </c>
      <c r="H124" s="1590">
        <f>'A8-ResRecon'!G19</f>
        <v>-181464296.17000002</v>
      </c>
      <c r="I124" s="1590">
        <f>'A8-ResRecon'!H19</f>
        <v>-181464296.17000002</v>
      </c>
      <c r="J124" s="2024">
        <f>'A8-ResRecon'!I19</f>
        <v>225933632</v>
      </c>
      <c r="K124" s="2026">
        <f>'A8-ResRecon'!J19</f>
        <v>7471986.4299999718</v>
      </c>
      <c r="L124" s="1590">
        <f>'A8-ResRecon'!K19</f>
        <v>7912556.6293699695</v>
      </c>
      <c r="M124" s="1596">
        <f>'A8-ResRecon'!L19</f>
        <v>8355883.8006146876</v>
      </c>
    </row>
    <row r="125" spans="1:13" x14ac:dyDescent="0.25">
      <c r="A125" s="1568" t="s">
        <v>1880</v>
      </c>
      <c r="B125" s="1570"/>
      <c r="D125" s="293"/>
      <c r="E125" s="293"/>
      <c r="F125" s="2016"/>
      <c r="G125" s="1429"/>
      <c r="H125" s="967"/>
      <c r="I125" s="967"/>
      <c r="J125" s="554"/>
      <c r="K125" s="1593"/>
      <c r="L125" s="967"/>
      <c r="M125" s="1586"/>
    </row>
    <row r="126" spans="1:13" x14ac:dyDescent="0.25">
      <c r="A126" s="246" t="s">
        <v>1881</v>
      </c>
      <c r="B126" s="1573"/>
      <c r="D126" s="2010">
        <f>IF(ISERROR('A10-SerDel'!C59/'SA18'!C8),0,('A10-SerDel'!C59/'SA18'!C8))</f>
        <v>5.0857562510119587E-2</v>
      </c>
      <c r="E126" s="2010">
        <f>IF(ISERROR('A10-SerDel'!D59/'SA18'!D8),0,('A10-SerDel'!D59/'SA18'!D8))</f>
        <v>6.1998728505502955E-2</v>
      </c>
      <c r="F126" s="2023">
        <f>IF(ISERROR('A10-SerDel'!E59/'SA18'!E8),0,('A10-SerDel'!E59/'SA18'!E8))</f>
        <v>0</v>
      </c>
      <c r="G126" s="2025">
        <f>IF(ISERROR('A10-SerDel'!F59/'SA18'!F8),0,('A10-SerDel'!F59/'SA18'!F8))</f>
        <v>6.108148400400118E-2</v>
      </c>
      <c r="H126" s="2010">
        <f>IF(ISERROR('A10-SerDel'!G59/'SA18'!G8),0,('A10-SerDel'!G59/'SA18'!G8))</f>
        <v>0</v>
      </c>
      <c r="I126" s="2010">
        <f>IF(ISERROR('A10-SerDel'!H59/'SA18'!H8),0,('A10-SerDel'!H59/'SA18'!H8))</f>
        <v>0</v>
      </c>
      <c r="J126" s="2011"/>
      <c r="K126" s="2028">
        <f>IF(ISERROR('A10-SerDel'!I59/'SA18'!I8),0,('A10-SerDel'!I59/'SA18'!I8))</f>
        <v>4.9409099097850642E-2</v>
      </c>
      <c r="L126" s="2010">
        <f>IF(ISERROR('A10-SerDel'!J59/'SA18'!J8),0,('A10-SerDel'!J59/'SA18'!J8))</f>
        <v>4.9409099097850642E-2</v>
      </c>
      <c r="M126" s="2011">
        <f>IF(ISERROR('A10-SerDel'!K59/'SA18'!K8),0,('A10-SerDel'!K59/'SA18'!K8))</f>
        <v>4.9409099097850635E-2</v>
      </c>
    </row>
    <row r="127" spans="1:13" ht="25.5" x14ac:dyDescent="0.25">
      <c r="A127" s="1574" t="s">
        <v>1882</v>
      </c>
      <c r="B127" s="1572"/>
      <c r="D127" s="2010">
        <f>IF(ISERROR('A10-SerDel'!C78/('A1-Sum'!B10-'A1-Sum'!B8)),0,('A10-SerDel'!C78/('A1-Sum'!B10-'A1-Sum'!B8)))</f>
        <v>2.176565235534395E-4</v>
      </c>
      <c r="E127" s="2010">
        <f>IF(ISERROR('A10-SerDel'!D78/('A1-Sum'!C10-'A1-Sum'!C8)),0,('A10-SerDel'!D78/('A1-Sum'!C10-'A1-Sum'!C8)))</f>
        <v>1.0190061009865345E-4</v>
      </c>
      <c r="F127" s="2011">
        <f>IF(ISERROR('A10-SerDel'!E78/('A1-Sum'!D10-'A1-Sum'!D8)),0,('A10-SerDel'!E78/('A1-Sum'!D10-'A1-Sum'!D8)))</f>
        <v>0</v>
      </c>
      <c r="G127" s="2028">
        <f>IF(ISERROR('A10-SerDel'!F78/('A1-Sum'!E10-'A1-Sum'!E8)),0,('A10-SerDel'!F78/('A1-Sum'!E10-'A1-Sum'!E8)))</f>
        <v>0.11190319957600407</v>
      </c>
      <c r="H127" s="2010">
        <f>IF(ISERROR('A10-SerDel'!G78/('A1-Sum'!F10-'A1-Sum'!F8)),0,('A10-SerDel'!G78/('A1-Sum'!F10-'A1-Sum'!F8)))</f>
        <v>8.2977845705890826E-2</v>
      </c>
      <c r="I127" s="2010">
        <f>IF(ISERROR('A10-SerDel'!H78/('A1-Sum'!G10-'A1-Sum'!G8)),0,('A10-SerDel'!H78/('A1-Sum'!G10-'A1-Sum'!G8)))</f>
        <v>8.2977845705890826E-2</v>
      </c>
      <c r="J127" s="2011"/>
      <c r="K127" s="2028">
        <f>IF(ISERROR('A10-SerDel'!I78/('A1-Sum'!I10-'A1-Sum'!I8)),0,('A10-SerDel'!I78/('A1-Sum'!I10-'A1-Sum'!I8)))</f>
        <v>7.9515187718070771E-2</v>
      </c>
      <c r="L127" s="2010">
        <f>IF(ISERROR('A10-SerDel'!J78/('A1-Sum'!J10-'A1-Sum'!J8)),0,('A10-SerDel'!J78/('A1-Sum'!J10-'A1-Sum'!J8)))</f>
        <v>7.9515187718070757E-2</v>
      </c>
      <c r="M127" s="2010">
        <f>IF(ISERROR('A10-SerDel'!K78/('A1-Sum'!K10-'A1-Sum'!K8)),0,('A10-SerDel'!K78/('A1-Sum'!K10-'A1-Sum'!K8)))</f>
        <v>7.9515187718070784E-2</v>
      </c>
    </row>
    <row r="128" spans="1:13" ht="5.25" customHeight="1" x14ac:dyDescent="0.25">
      <c r="A128" s="1574"/>
      <c r="B128" s="1572"/>
      <c r="D128" s="2028"/>
      <c r="E128" s="2010"/>
      <c r="F128" s="1594"/>
      <c r="G128" s="2028"/>
      <c r="H128" s="2010"/>
      <c r="I128" s="2010"/>
      <c r="J128" s="2011"/>
      <c r="K128" s="2028"/>
      <c r="L128" s="2010"/>
      <c r="M128" s="2011"/>
    </row>
    <row r="129" spans="1:13" ht="18" customHeight="1" x14ac:dyDescent="0.25">
      <c r="A129" s="2029" t="s">
        <v>1925</v>
      </c>
      <c r="B129" s="2032"/>
      <c r="C129" s="2033"/>
      <c r="D129" s="2034"/>
      <c r="E129" s="2035"/>
      <c r="F129" s="2036"/>
      <c r="G129" s="2037"/>
      <c r="H129" s="2038"/>
      <c r="I129" s="2038"/>
      <c r="J129" s="2036"/>
      <c r="K129" s="2037"/>
      <c r="L129" s="2038"/>
      <c r="M129" s="2036"/>
    </row>
    <row r="130" spans="1:13" ht="13.5" x14ac:dyDescent="0.25">
      <c r="A130" s="2030" t="s">
        <v>1849</v>
      </c>
      <c r="B130" s="2039"/>
      <c r="C130" s="2040"/>
      <c r="D130" s="2041">
        <f>D86</f>
        <v>381529743</v>
      </c>
      <c r="E130" s="2041">
        <f t="shared" ref="E130:M130" si="10">E86</f>
        <v>373679259</v>
      </c>
      <c r="F130" s="2050">
        <f t="shared" si="10"/>
        <v>411613982.47000003</v>
      </c>
      <c r="G130" s="2041">
        <f t="shared" si="10"/>
        <v>362940372.98799998</v>
      </c>
      <c r="H130" s="2041">
        <f t="shared" si="10"/>
        <v>390230204.67799997</v>
      </c>
      <c r="I130" s="2041">
        <f t="shared" si="10"/>
        <v>390230204.67799997</v>
      </c>
      <c r="J130" s="2050">
        <f>J86</f>
        <v>271826774</v>
      </c>
      <c r="K130" s="2041">
        <f t="shared" si="10"/>
        <v>488837076.79000002</v>
      </c>
      <c r="L130" s="2041">
        <f t="shared" si="10"/>
        <v>517678464.32061005</v>
      </c>
      <c r="M130" s="2050">
        <f t="shared" si="10"/>
        <v>546668458.32256413</v>
      </c>
    </row>
    <row r="131" spans="1:13" ht="13.5" x14ac:dyDescent="0.25">
      <c r="A131" s="2030" t="s">
        <v>1850</v>
      </c>
      <c r="B131" s="2039"/>
      <c r="C131" s="2040"/>
      <c r="D131" s="2041">
        <f t="shared" ref="D131:M132" si="11">D87</f>
        <v>367303885</v>
      </c>
      <c r="E131" s="2041">
        <f t="shared" si="11"/>
        <v>480311835</v>
      </c>
      <c r="F131" s="2050">
        <f t="shared" si="11"/>
        <v>634171173</v>
      </c>
      <c r="G131" s="2041">
        <f t="shared" si="11"/>
        <v>542203713.77425599</v>
      </c>
      <c r="H131" s="2041">
        <f t="shared" si="11"/>
        <v>360517281.74425602</v>
      </c>
      <c r="I131" s="2041">
        <f t="shared" si="11"/>
        <v>360517281.74425602</v>
      </c>
      <c r="J131" s="2050">
        <f t="shared" si="11"/>
        <v>175469184.66</v>
      </c>
      <c r="K131" s="2041">
        <f t="shared" si="11"/>
        <v>629943578.63999987</v>
      </c>
      <c r="L131" s="2041">
        <f t="shared" si="11"/>
        <v>667110249.77975988</v>
      </c>
      <c r="M131" s="2050">
        <f t="shared" si="11"/>
        <v>704468423.76742649</v>
      </c>
    </row>
    <row r="132" spans="1:13" ht="13.5" x14ac:dyDescent="0.25">
      <c r="A132" s="2030" t="s">
        <v>1926</v>
      </c>
      <c r="B132" s="2039"/>
      <c r="C132" s="2040"/>
      <c r="D132" s="2041">
        <f t="shared" si="11"/>
        <v>14225858</v>
      </c>
      <c r="E132" s="2041">
        <f t="shared" si="11"/>
        <v>-106632576</v>
      </c>
      <c r="F132" s="2050">
        <f t="shared" si="11"/>
        <v>-222557190.52999997</v>
      </c>
      <c r="G132" s="2041">
        <f t="shared" si="11"/>
        <v>-179263340.78625602</v>
      </c>
      <c r="H132" s="2041">
        <f t="shared" si="11"/>
        <v>29712922.933743954</v>
      </c>
      <c r="I132" s="2041">
        <f t="shared" si="11"/>
        <v>29712922.933743954</v>
      </c>
      <c r="J132" s="2050">
        <f t="shared" si="11"/>
        <v>96357589.340000004</v>
      </c>
      <c r="K132" s="2041">
        <f t="shared" si="11"/>
        <v>-141106501.84999985</v>
      </c>
      <c r="L132" s="2041">
        <f t="shared" si="11"/>
        <v>-149431785.45914984</v>
      </c>
      <c r="M132" s="2050">
        <f t="shared" si="11"/>
        <v>-157799965.44486237</v>
      </c>
    </row>
    <row r="133" spans="1:13" ht="13.5" x14ac:dyDescent="0.25">
      <c r="A133" s="2030" t="s">
        <v>1928</v>
      </c>
      <c r="B133" s="2039"/>
      <c r="C133" s="2040"/>
      <c r="D133" s="2041">
        <f>'A8-ResRecon'!C19</f>
        <v>26958000</v>
      </c>
      <c r="E133" s="2041">
        <f>'A8-ResRecon'!D19</f>
        <v>-52817701</v>
      </c>
      <c r="F133" s="2050">
        <f>'A8-ResRecon'!E19</f>
        <v>-99926889</v>
      </c>
      <c r="G133" s="2041">
        <f>'A8-ResRecon'!F19</f>
        <v>21490723.829999983</v>
      </c>
      <c r="H133" s="2041">
        <f>'A8-ResRecon'!G19</f>
        <v>-181464296.17000002</v>
      </c>
      <c r="I133" s="2041">
        <f>'A8-ResRecon'!H19</f>
        <v>-181464296.17000002</v>
      </c>
      <c r="J133" s="2050">
        <f>'A8-ResRecon'!I19</f>
        <v>225933632</v>
      </c>
      <c r="K133" s="2041">
        <f>'A8-ResRecon'!J19</f>
        <v>7471986.4299999718</v>
      </c>
      <c r="L133" s="2041">
        <f>'A8-ResRecon'!K19</f>
        <v>7912556.6293699695</v>
      </c>
      <c r="M133" s="2050">
        <f>'A8-ResRecon'!L19</f>
        <v>8355883.8006146876</v>
      </c>
    </row>
    <row r="134" spans="1:13" ht="13.5" x14ac:dyDescent="0.25">
      <c r="A134" s="2031" t="s">
        <v>1927</v>
      </c>
      <c r="B134" s="2030"/>
      <c r="C134" s="2520">
        <v>15</v>
      </c>
      <c r="D134" s="2051">
        <f>IF(D133&gt;=0,1,0)</f>
        <v>1</v>
      </c>
      <c r="E134" s="2051">
        <f t="shared" ref="E134:M134" si="12">IF(E133&gt;=0,1,0)</f>
        <v>0</v>
      </c>
      <c r="F134" s="2052">
        <f t="shared" si="12"/>
        <v>0</v>
      </c>
      <c r="G134" s="2051">
        <f t="shared" si="12"/>
        <v>1</v>
      </c>
      <c r="H134" s="2051">
        <f t="shared" si="12"/>
        <v>0</v>
      </c>
      <c r="I134" s="2051">
        <f t="shared" si="12"/>
        <v>0</v>
      </c>
      <c r="J134" s="2052">
        <f t="shared" si="12"/>
        <v>1</v>
      </c>
      <c r="K134" s="2051">
        <f t="shared" si="12"/>
        <v>1</v>
      </c>
      <c r="L134" s="2051">
        <f t="shared" si="12"/>
        <v>1</v>
      </c>
      <c r="M134" s="2052">
        <f t="shared" si="12"/>
        <v>1</v>
      </c>
    </row>
    <row r="135" spans="1:13" s="2100" customFormat="1" ht="13.5" x14ac:dyDescent="0.25">
      <c r="A135" s="2096" t="s">
        <v>1935</v>
      </c>
      <c r="B135" s="2097"/>
      <c r="C135" s="2040">
        <v>15</v>
      </c>
      <c r="D135" s="2098" t="str">
        <f>IF(D134=1,"ü","û")</f>
        <v>ü</v>
      </c>
      <c r="E135" s="2098" t="str">
        <f t="shared" ref="E135:M135" si="13">IF(E134=1,"ü","û")</f>
        <v>û</v>
      </c>
      <c r="F135" s="2099" t="str">
        <f t="shared" si="13"/>
        <v>û</v>
      </c>
      <c r="G135" s="2098" t="str">
        <f t="shared" si="13"/>
        <v>ü</v>
      </c>
      <c r="H135" s="2098" t="str">
        <f t="shared" si="13"/>
        <v>û</v>
      </c>
      <c r="I135" s="2098" t="str">
        <f t="shared" si="13"/>
        <v>û</v>
      </c>
      <c r="J135" s="2099" t="str">
        <f t="shared" si="13"/>
        <v>ü</v>
      </c>
      <c r="K135" s="2098" t="str">
        <f t="shared" si="13"/>
        <v>ü</v>
      </c>
      <c r="L135" s="2098" t="str">
        <f t="shared" si="13"/>
        <v>ü</v>
      </c>
      <c r="M135" s="2099" t="str">
        <f t="shared" si="13"/>
        <v>ü</v>
      </c>
    </row>
    <row r="136" spans="1:13" ht="13.5" x14ac:dyDescent="0.25">
      <c r="A136" s="2042"/>
      <c r="B136" s="2043"/>
      <c r="C136" s="2044"/>
      <c r="D136" s="2045"/>
      <c r="E136" s="2046"/>
      <c r="F136" s="2047"/>
      <c r="G136" s="2048"/>
      <c r="H136" s="2049"/>
      <c r="I136" s="2049"/>
      <c r="J136" s="2047"/>
      <c r="K136" s="2048"/>
      <c r="L136" s="2049"/>
      <c r="M136" s="2047"/>
    </row>
    <row r="137" spans="1:13" x14ac:dyDescent="0.25">
      <c r="A137" s="2521" t="str">
        <f>head27a</f>
        <v>References</v>
      </c>
    </row>
    <row r="138" spans="1:13" x14ac:dyDescent="0.25">
      <c r="A138" s="460" t="s">
        <v>2215</v>
      </c>
    </row>
  </sheetData>
  <sheetProtection sheet="1" objects="1" scenarios="1"/>
  <customSheetViews>
    <customSheetView guid="{F50C5479-5CC4-4FD7-8319-543D29E829F0}" showGridLines="0" fitToPage="1">
      <pane xSplit="3" ySplit="3" topLeftCell="D106" activePane="bottomRight" state="frozen"/>
      <selection pane="bottomRight" activeCell="E144" sqref="E144"/>
      <pageMargins left="0" right="0" top="0.78740157480314965" bottom="0.59055118110236227" header="0.51181102362204722" footer="0.39"/>
      <printOptions horizontalCentered="1"/>
      <pageSetup paperSize="9" scale="74" orientation="portrait" horizontalDpi="300" verticalDpi="300" r:id="rId1"/>
      <headerFooter alignWithMargins="0"/>
    </customSheetView>
  </customSheetViews>
  <mergeCells count="5">
    <mergeCell ref="A2:A3"/>
    <mergeCell ref="K2:M2"/>
    <mergeCell ref="B2:B3"/>
    <mergeCell ref="C2:C3"/>
    <mergeCell ref="G2:J2"/>
  </mergeCells>
  <phoneticPr fontId="2" type="noConversion"/>
  <dataValidations count="1">
    <dataValidation type="decimal" allowBlank="1" showInputMessage="1" showErrorMessage="1" sqref="K63:M67 K72:M75 K78:M81">
      <formula1>-9999999999999990</formula1>
      <formula2>99999999999999900</formula2>
    </dataValidation>
  </dataValidations>
  <printOptions horizontalCentered="1"/>
  <pageMargins left="0" right="0" top="0.78740157480314965" bottom="0.59055118110236227" header="0.51181102362204722" footer="0.39370078740157483"/>
  <pageSetup paperSize="9" scale="70" orientation="portrait" horizontalDpi="300" verticalDpi="300" r:id="rId2"/>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J181"/>
  <sheetViews>
    <sheetView topLeftCell="B1" zoomScaleNormal="100" workbookViewId="0">
      <pane ySplit="1" topLeftCell="A2" activePane="bottomLeft" state="frozen"/>
      <selection pane="bottomLeft" activeCell="B6" sqref="B6"/>
    </sheetView>
  </sheetViews>
  <sheetFormatPr defaultRowHeight="11.25" x14ac:dyDescent="0.2"/>
  <cols>
    <col min="1" max="1" width="23.140625" style="1385" customWidth="1"/>
    <col min="2" max="2" width="92.140625" style="1384" customWidth="1"/>
    <col min="3" max="3" width="17.5703125" style="1384" customWidth="1"/>
    <col min="4" max="4" width="10.5703125" style="1384" bestFit="1" customWidth="1"/>
    <col min="5" max="5" width="87.7109375" style="1384" customWidth="1"/>
    <col min="6" max="6" width="78.140625" style="1384" customWidth="1"/>
    <col min="7" max="10" width="9.140625" style="1385"/>
    <col min="11" max="16384" width="9.140625" style="1384"/>
  </cols>
  <sheetData>
    <row r="1" spans="1:4" x14ac:dyDescent="0.2">
      <c r="A1" s="2731" t="s">
        <v>967</v>
      </c>
      <c r="B1" s="2732"/>
      <c r="C1" s="2732"/>
      <c r="D1" s="2733"/>
    </row>
    <row r="2" spans="1:4" x14ac:dyDescent="0.2">
      <c r="A2" s="1597" t="s">
        <v>748</v>
      </c>
      <c r="B2" s="2640" t="str">
        <f>HLOOKUP(MTREF,Headings,2)</f>
        <v>2013/14</v>
      </c>
      <c r="C2" s="1598" t="s">
        <v>125</v>
      </c>
      <c r="D2" s="1599"/>
    </row>
    <row r="3" spans="1:4" x14ac:dyDescent="0.2">
      <c r="A3" s="1600" t="s">
        <v>405</v>
      </c>
      <c r="B3" s="2641" t="str">
        <f>HLOOKUP(MTREF,Headings,3)</f>
        <v>2012/13</v>
      </c>
      <c r="C3" s="1601" t="s">
        <v>126</v>
      </c>
      <c r="D3" s="1602"/>
    </row>
    <row r="4" spans="1:4" x14ac:dyDescent="0.2">
      <c r="A4" s="1600" t="s">
        <v>801</v>
      </c>
      <c r="B4" s="2641" t="str">
        <f>HLOOKUP(MTREF,Headings,4)</f>
        <v>2011/12</v>
      </c>
      <c r="C4" s="1601" t="s">
        <v>127</v>
      </c>
      <c r="D4" s="1602"/>
    </row>
    <row r="5" spans="1:4" x14ac:dyDescent="0.2">
      <c r="A5" s="1600" t="s">
        <v>1602</v>
      </c>
      <c r="B5" s="2642" t="str">
        <f>HLOOKUP(MTREF,Headings,5)</f>
        <v>Current Year 2014/15</v>
      </c>
      <c r="C5" s="1601" t="s">
        <v>885</v>
      </c>
      <c r="D5" s="1602"/>
    </row>
    <row r="6" spans="1:4" x14ac:dyDescent="0.2">
      <c r="A6" s="1600" t="s">
        <v>776</v>
      </c>
      <c r="B6" s="2641" t="str">
        <f>HLOOKUP(MTREF,Headings,6)</f>
        <v>2014/15</v>
      </c>
      <c r="C6" s="1601" t="s">
        <v>885</v>
      </c>
      <c r="D6" s="1602"/>
    </row>
    <row r="7" spans="1:4" x14ac:dyDescent="0.2">
      <c r="A7" s="1600" t="s">
        <v>1603</v>
      </c>
      <c r="B7" s="2642" t="str">
        <f>HLOOKUP(MTREF,Headings,7)</f>
        <v>2015/16 Medium Term Revenue &amp; Expenditure Framework</v>
      </c>
      <c r="C7" s="1601" t="s">
        <v>886</v>
      </c>
      <c r="D7" s="1602"/>
    </row>
    <row r="8" spans="1:4" x14ac:dyDescent="0.2">
      <c r="A8" s="1473" t="s">
        <v>1604</v>
      </c>
      <c r="B8" s="1474" t="s">
        <v>545</v>
      </c>
      <c r="C8" s="1474" t="s">
        <v>887</v>
      </c>
      <c r="D8" s="1388"/>
    </row>
    <row r="9" spans="1:4" x14ac:dyDescent="0.2">
      <c r="A9" s="1473" t="s">
        <v>1605</v>
      </c>
      <c r="B9" s="1474" t="s">
        <v>1054</v>
      </c>
      <c r="C9" s="1387"/>
      <c r="D9" s="1388"/>
    </row>
    <row r="10" spans="1:4" x14ac:dyDescent="0.2">
      <c r="A10" s="1473" t="s">
        <v>317</v>
      </c>
      <c r="B10" s="1474" t="s">
        <v>318</v>
      </c>
      <c r="C10" s="1387"/>
      <c r="D10" s="1388"/>
    </row>
    <row r="11" spans="1:4" x14ac:dyDescent="0.2">
      <c r="A11" s="1473" t="s">
        <v>666</v>
      </c>
      <c r="B11" s="1474" t="s">
        <v>667</v>
      </c>
      <c r="C11" s="1387"/>
      <c r="D11" s="1388"/>
    </row>
    <row r="12" spans="1:4" x14ac:dyDescent="0.2">
      <c r="A12" s="1473" t="s">
        <v>1606</v>
      </c>
      <c r="B12" s="1474" t="s">
        <v>464</v>
      </c>
      <c r="C12" s="1387"/>
      <c r="D12" s="1388"/>
    </row>
    <row r="13" spans="1:4" x14ac:dyDescent="0.2">
      <c r="A13" s="1473" t="s">
        <v>1607</v>
      </c>
      <c r="B13" s="1474" t="s">
        <v>1786</v>
      </c>
      <c r="C13" s="1387"/>
      <c r="D13" s="1388"/>
    </row>
    <row r="14" spans="1:4" x14ac:dyDescent="0.2">
      <c r="A14" s="1473" t="s">
        <v>1608</v>
      </c>
      <c r="B14" s="1474" t="s">
        <v>1787</v>
      </c>
      <c r="C14" s="1387"/>
      <c r="D14" s="1388"/>
    </row>
    <row r="15" spans="1:4" x14ac:dyDescent="0.2">
      <c r="A15" s="1600" t="s">
        <v>1609</v>
      </c>
      <c r="B15" s="2642" t="str">
        <f>HLOOKUP(MTREF,Headings,8)</f>
        <v>Budget Year 2015/16</v>
      </c>
      <c r="C15" s="1601" t="s">
        <v>888</v>
      </c>
      <c r="D15" s="1475" t="s">
        <v>1689</v>
      </c>
    </row>
    <row r="16" spans="1:4" x14ac:dyDescent="0.2">
      <c r="A16" s="1600" t="s">
        <v>1610</v>
      </c>
      <c r="B16" s="2642" t="str">
        <f>HLOOKUP(MTREF,Headings,9)</f>
        <v>Budget Year +1 2016/17</v>
      </c>
      <c r="C16" s="1601" t="s">
        <v>889</v>
      </c>
      <c r="D16" s="1475" t="s">
        <v>1690</v>
      </c>
    </row>
    <row r="17" spans="1:4" x14ac:dyDescent="0.2">
      <c r="A17" s="1600" t="s">
        <v>1615</v>
      </c>
      <c r="B17" s="2642" t="str">
        <f>HLOOKUP(MTREF,Headings,10)</f>
        <v>Budget Year +2 2017/18</v>
      </c>
      <c r="C17" s="1601" t="s">
        <v>890</v>
      </c>
      <c r="D17" s="1475" t="s">
        <v>1691</v>
      </c>
    </row>
    <row r="18" spans="1:4" x14ac:dyDescent="0.2">
      <c r="A18" s="1600" t="s">
        <v>1617</v>
      </c>
      <c r="B18" s="2642" t="str">
        <f>HLOOKUP(MTREF,Headings,11)</f>
        <v>Forecast 2018/19</v>
      </c>
      <c r="C18" s="1601" t="s">
        <v>1095</v>
      </c>
      <c r="D18" s="1475" t="s">
        <v>1692</v>
      </c>
    </row>
    <row r="19" spans="1:4" x14ac:dyDescent="0.2">
      <c r="A19" s="1600" t="s">
        <v>1618</v>
      </c>
      <c r="B19" s="2642" t="str">
        <f>HLOOKUP(MTREF,Headings,12)</f>
        <v>Forecast 2019/20</v>
      </c>
      <c r="C19" s="1601" t="s">
        <v>1096</v>
      </c>
      <c r="D19" s="1475" t="s">
        <v>1693</v>
      </c>
    </row>
    <row r="20" spans="1:4" x14ac:dyDescent="0.2">
      <c r="A20" s="1600" t="s">
        <v>1619</v>
      </c>
      <c r="B20" s="2642" t="str">
        <f>HLOOKUP(MTREF,Headings,13)</f>
        <v>Forecast 2020/21</v>
      </c>
      <c r="C20" s="1601" t="s">
        <v>1096</v>
      </c>
      <c r="D20" s="1475" t="s">
        <v>1694</v>
      </c>
    </row>
    <row r="21" spans="1:4" x14ac:dyDescent="0.2">
      <c r="A21" s="1600" t="s">
        <v>1620</v>
      </c>
      <c r="B21" s="2642" t="str">
        <f>HLOOKUP(MTREF,Headings,14)</f>
        <v>Forecast 2021/22</v>
      </c>
      <c r="C21" s="1601" t="s">
        <v>1096</v>
      </c>
      <c r="D21" s="1475" t="s">
        <v>1695</v>
      </c>
    </row>
    <row r="22" spans="1:4" x14ac:dyDescent="0.2">
      <c r="A22" s="1600" t="s">
        <v>1621</v>
      </c>
      <c r="B22" s="2642" t="str">
        <f>HLOOKUP(MTREF,Headings,15)</f>
        <v>Forecast 2022/23</v>
      </c>
      <c r="C22" s="1601" t="s">
        <v>1096</v>
      </c>
      <c r="D22" s="1475" t="s">
        <v>1696</v>
      </c>
    </row>
    <row r="23" spans="1:4" x14ac:dyDescent="0.2">
      <c r="A23" s="1600" t="s">
        <v>1622</v>
      </c>
      <c r="B23" s="2642" t="str">
        <f>HLOOKUP(MTREF,Headings,16)</f>
        <v>Forecast 2023/24</v>
      </c>
      <c r="C23" s="1601" t="s">
        <v>1096</v>
      </c>
      <c r="D23" s="1475" t="s">
        <v>1697</v>
      </c>
    </row>
    <row r="24" spans="1:4" x14ac:dyDescent="0.2">
      <c r="A24" s="1600" t="s">
        <v>1623</v>
      </c>
      <c r="B24" s="2642" t="str">
        <f>HLOOKUP(MTREF,Headings,17)</f>
        <v>Forecast 2024/25</v>
      </c>
      <c r="C24" s="1601" t="s">
        <v>1096</v>
      </c>
      <c r="D24" s="1475" t="s">
        <v>650</v>
      </c>
    </row>
    <row r="25" spans="1:4" x14ac:dyDescent="0.2">
      <c r="A25" s="1600" t="s">
        <v>1624</v>
      </c>
      <c r="B25" s="2642" t="str">
        <f>HLOOKUP(MTREF,Headings,18)</f>
        <v>Forecast 2025/26</v>
      </c>
      <c r="C25" s="1601" t="s">
        <v>1096</v>
      </c>
      <c r="D25" s="1475" t="s">
        <v>651</v>
      </c>
    </row>
    <row r="26" spans="1:4" x14ac:dyDescent="0.2">
      <c r="A26" s="1600" t="s">
        <v>1625</v>
      </c>
      <c r="B26" s="2642" t="str">
        <f>HLOOKUP(MTREF,Headings,19)</f>
        <v>Forecast 2026/27</v>
      </c>
      <c r="C26" s="1601" t="s">
        <v>1096</v>
      </c>
      <c r="D26" s="1475" t="s">
        <v>652</v>
      </c>
    </row>
    <row r="27" spans="1:4" x14ac:dyDescent="0.2">
      <c r="A27" s="1600" t="s">
        <v>1626</v>
      </c>
      <c r="B27" s="2642" t="str">
        <f>HLOOKUP(MTREF,Headings,20)</f>
        <v>Forecast 2027/28</v>
      </c>
      <c r="C27" s="1601" t="s">
        <v>1096</v>
      </c>
      <c r="D27" s="1475" t="s">
        <v>653</v>
      </c>
    </row>
    <row r="28" spans="1:4" x14ac:dyDescent="0.2">
      <c r="A28" s="1600" t="s">
        <v>1627</v>
      </c>
      <c r="B28" s="2642" t="str">
        <f>HLOOKUP(MTREF,Headings,21)</f>
        <v>Forecast 2028/29</v>
      </c>
      <c r="C28" s="1601" t="s">
        <v>1096</v>
      </c>
      <c r="D28" s="1475" t="s">
        <v>654</v>
      </c>
    </row>
    <row r="29" spans="1:4" x14ac:dyDescent="0.2">
      <c r="A29" s="1600" t="s">
        <v>1628</v>
      </c>
      <c r="B29" s="2642" t="str">
        <f>HLOOKUP(MTREF,Headings,22)</f>
        <v>Forecast 2029/30</v>
      </c>
      <c r="C29" s="1601" t="s">
        <v>1096</v>
      </c>
      <c r="D29" s="1475" t="s">
        <v>655</v>
      </c>
    </row>
    <row r="30" spans="1:4" x14ac:dyDescent="0.2">
      <c r="A30" s="1473" t="s">
        <v>1076</v>
      </c>
      <c r="B30" s="1474" t="s">
        <v>769</v>
      </c>
      <c r="C30" s="1387"/>
      <c r="D30" s="1389"/>
    </row>
    <row r="31" spans="1:4" x14ac:dyDescent="0.2">
      <c r="A31" s="1473" t="s">
        <v>1017</v>
      </c>
      <c r="B31" s="1387"/>
      <c r="C31" s="1387"/>
      <c r="D31" s="1389"/>
    </row>
    <row r="32" spans="1:4" x14ac:dyDescent="0.2">
      <c r="A32" s="1473" t="s">
        <v>802</v>
      </c>
      <c r="B32" s="1474" t="s">
        <v>803</v>
      </c>
      <c r="C32" s="1387"/>
      <c r="D32" s="1389"/>
    </row>
    <row r="33" spans="1:4" x14ac:dyDescent="0.2">
      <c r="A33" s="1473" t="s">
        <v>804</v>
      </c>
      <c r="B33" s="1474" t="s">
        <v>426</v>
      </c>
      <c r="C33" s="1387"/>
      <c r="D33" s="1389"/>
    </row>
    <row r="34" spans="1:4" x14ac:dyDescent="0.2">
      <c r="A34" s="1473" t="s">
        <v>975</v>
      </c>
      <c r="B34" s="1474" t="s">
        <v>976</v>
      </c>
      <c r="C34" s="1387"/>
      <c r="D34" s="1389"/>
    </row>
    <row r="35" spans="1:4" x14ac:dyDescent="0.2">
      <c r="A35" s="1473" t="s">
        <v>916</v>
      </c>
      <c r="B35" s="1474" t="s">
        <v>891</v>
      </c>
      <c r="C35" s="1387"/>
      <c r="D35" s="1475" t="s">
        <v>917</v>
      </c>
    </row>
    <row r="36" spans="1:4" x14ac:dyDescent="0.2">
      <c r="A36" s="1600" t="s">
        <v>1717</v>
      </c>
      <c r="B36" s="2642" t="str">
        <f>HLOOKUP(MTREF,Headings,23)</f>
        <v>Annual target 2015/16</v>
      </c>
      <c r="C36" s="1601"/>
      <c r="D36" s="1389"/>
    </row>
    <row r="37" spans="1:4" x14ac:dyDescent="0.2">
      <c r="A37" s="1600" t="s">
        <v>1718</v>
      </c>
      <c r="B37" s="2642" t="str">
        <f>HLOOKUP(MTREF,Headings,24)</f>
        <v>Revised target 2015/16</v>
      </c>
      <c r="C37" s="1601"/>
      <c r="D37" s="1389"/>
    </row>
    <row r="38" spans="1:4" x14ac:dyDescent="0.2">
      <c r="A38" s="1473" t="s">
        <v>1719</v>
      </c>
      <c r="B38" s="1474" t="s">
        <v>639</v>
      </c>
      <c r="C38" s="1387"/>
      <c r="D38" s="1389"/>
    </row>
    <row r="39" spans="1:4" x14ac:dyDescent="0.2">
      <c r="A39" s="1473" t="s">
        <v>1720</v>
      </c>
      <c r="B39" s="1474" t="s">
        <v>640</v>
      </c>
      <c r="C39" s="1387"/>
      <c r="D39" s="1389"/>
    </row>
    <row r="40" spans="1:4" x14ac:dyDescent="0.2">
      <c r="A40" s="1473" t="s">
        <v>1721</v>
      </c>
      <c r="B40" s="1474" t="s">
        <v>641</v>
      </c>
      <c r="C40" s="1387"/>
      <c r="D40" s="1389"/>
    </row>
    <row r="41" spans="1:4" x14ac:dyDescent="0.2">
      <c r="A41" s="1473" t="s">
        <v>1722</v>
      </c>
      <c r="B41" s="1474" t="s">
        <v>637</v>
      </c>
      <c r="C41" s="1387"/>
      <c r="D41" s="1389"/>
    </row>
    <row r="42" spans="1:4" x14ac:dyDescent="0.2">
      <c r="A42" s="1473" t="s">
        <v>638</v>
      </c>
      <c r="B42" s="1474" t="s">
        <v>1498</v>
      </c>
      <c r="C42" s="1387"/>
      <c r="D42" s="1389"/>
    </row>
    <row r="43" spans="1:4" x14ac:dyDescent="0.2">
      <c r="A43" s="1473" t="s">
        <v>350</v>
      </c>
      <c r="B43" s="1474" t="s">
        <v>771</v>
      </c>
      <c r="C43" s="1387"/>
      <c r="D43" s="1389"/>
    </row>
    <row r="44" spans="1:4" x14ac:dyDescent="0.2">
      <c r="A44" s="1473" t="s">
        <v>351</v>
      </c>
      <c r="B44" s="1474" t="s">
        <v>772</v>
      </c>
      <c r="C44" s="1387"/>
      <c r="D44" s="1389"/>
    </row>
    <row r="45" spans="1:4" x14ac:dyDescent="0.2">
      <c r="A45" s="1473" t="s">
        <v>352</v>
      </c>
      <c r="B45" s="1474" t="s">
        <v>1286</v>
      </c>
      <c r="C45" s="1387"/>
      <c r="D45" s="1389"/>
    </row>
    <row r="46" spans="1:4" x14ac:dyDescent="0.2">
      <c r="A46" s="1473" t="s">
        <v>1285</v>
      </c>
      <c r="B46" s="1474" t="s">
        <v>1339</v>
      </c>
      <c r="C46" s="1387"/>
      <c r="D46" s="1389"/>
    </row>
    <row r="47" spans="1:4" x14ac:dyDescent="0.2">
      <c r="A47" s="1473" t="s">
        <v>1287</v>
      </c>
      <c r="B47" s="1476" t="s">
        <v>98</v>
      </c>
      <c r="C47" s="1387"/>
      <c r="D47" s="1389"/>
    </row>
    <row r="48" spans="1:4" x14ac:dyDescent="0.2">
      <c r="A48" s="1473" t="s">
        <v>1288</v>
      </c>
      <c r="B48" s="1476" t="s">
        <v>100</v>
      </c>
      <c r="C48" s="1387"/>
      <c r="D48" s="1389"/>
    </row>
    <row r="49" spans="1:4" x14ac:dyDescent="0.2">
      <c r="A49" s="1473" t="s">
        <v>1289</v>
      </c>
      <c r="B49" s="1476" t="s">
        <v>1198</v>
      </c>
      <c r="C49" s="1387"/>
      <c r="D49" s="1389"/>
    </row>
    <row r="50" spans="1:4" x14ac:dyDescent="0.2">
      <c r="A50" s="1473" t="s">
        <v>99</v>
      </c>
      <c r="B50" s="1476" t="str">
        <f>Head3&amp;" Summary"</f>
        <v>2015/16 Medium Term Revenue &amp; Expenditure Framework Summary</v>
      </c>
      <c r="C50" s="1387"/>
      <c r="D50" s="1389"/>
    </row>
    <row r="51" spans="1:4" x14ac:dyDescent="0.2">
      <c r="A51" s="1473" t="s">
        <v>643</v>
      </c>
      <c r="B51" s="1476" t="s">
        <v>645</v>
      </c>
      <c r="C51" s="1387"/>
      <c r="D51" s="1389"/>
    </row>
    <row r="52" spans="1:4" x14ac:dyDescent="0.2">
      <c r="A52" s="1473" t="s">
        <v>644</v>
      </c>
      <c r="B52" s="1476" t="s">
        <v>2267</v>
      </c>
      <c r="C52" s="1387"/>
      <c r="D52" s="1389"/>
    </row>
    <row r="53" spans="1:4" x14ac:dyDescent="0.2">
      <c r="A53" s="1473" t="s">
        <v>1522</v>
      </c>
      <c r="B53" s="1477" t="s">
        <v>1523</v>
      </c>
      <c r="C53" s="1391"/>
      <c r="D53" s="1389"/>
    </row>
    <row r="54" spans="1:4" x14ac:dyDescent="0.2">
      <c r="A54" s="1473" t="s">
        <v>970</v>
      </c>
      <c r="B54" s="1476" t="s">
        <v>1637</v>
      </c>
      <c r="C54" s="1387"/>
      <c r="D54" s="1389"/>
    </row>
    <row r="55" spans="1:4" x14ac:dyDescent="0.2">
      <c r="A55" s="1473" t="s">
        <v>396</v>
      </c>
      <c r="B55" s="1476" t="s">
        <v>872</v>
      </c>
      <c r="C55" s="1387"/>
      <c r="D55" s="1389"/>
    </row>
    <row r="56" spans="1:4" x14ac:dyDescent="0.2">
      <c r="A56" s="1473" t="s">
        <v>1346</v>
      </c>
      <c r="B56" s="1390"/>
      <c r="C56" s="1387"/>
      <c r="D56" s="1389"/>
    </row>
    <row r="57" spans="1:4" x14ac:dyDescent="0.2">
      <c r="A57" s="1473" t="s">
        <v>1347</v>
      </c>
      <c r="B57" s="1476" t="s">
        <v>593</v>
      </c>
      <c r="C57" s="1387"/>
      <c r="D57" s="1389"/>
    </row>
    <row r="58" spans="1:4" x14ac:dyDescent="0.2">
      <c r="A58" s="1473" t="s">
        <v>588</v>
      </c>
      <c r="B58" s="1476" t="s">
        <v>592</v>
      </c>
      <c r="C58" s="1387"/>
      <c r="D58" s="1389"/>
    </row>
    <row r="59" spans="1:4" x14ac:dyDescent="0.2">
      <c r="A59" s="1473" t="s">
        <v>589</v>
      </c>
      <c r="B59" s="1476" t="s">
        <v>463</v>
      </c>
      <c r="C59" s="1387"/>
      <c r="D59" s="1389"/>
    </row>
    <row r="60" spans="1:4" x14ac:dyDescent="0.2">
      <c r="A60" s="1473" t="s">
        <v>590</v>
      </c>
      <c r="B60" s="1476" t="s">
        <v>594</v>
      </c>
      <c r="C60" s="1387"/>
      <c r="D60" s="1389"/>
    </row>
    <row r="61" spans="1:4" x14ac:dyDescent="0.2">
      <c r="A61" s="1473" t="s">
        <v>591</v>
      </c>
      <c r="B61" s="1476" t="s">
        <v>469</v>
      </c>
      <c r="C61" s="1387"/>
      <c r="D61" s="1389"/>
    </row>
    <row r="62" spans="1:4" x14ac:dyDescent="0.2">
      <c r="A62" s="1473" t="s">
        <v>1485</v>
      </c>
      <c r="B62" s="1476" t="s">
        <v>462</v>
      </c>
      <c r="C62" s="1387"/>
      <c r="D62" s="1389"/>
    </row>
    <row r="63" spans="1:4" x14ac:dyDescent="0.2">
      <c r="A63" s="1473" t="s">
        <v>1657</v>
      </c>
      <c r="B63" s="1476" t="s">
        <v>1658</v>
      </c>
      <c r="C63" s="1387"/>
      <c r="D63" s="1389"/>
    </row>
    <row r="64" spans="1:4" x14ac:dyDescent="0.2">
      <c r="A64" s="1473" t="s">
        <v>483</v>
      </c>
      <c r="B64" s="1476" t="s">
        <v>481</v>
      </c>
      <c r="C64" s="1387"/>
      <c r="D64" s="1389"/>
    </row>
    <row r="65" spans="1:4" x14ac:dyDescent="0.2">
      <c r="A65" s="1473" t="s">
        <v>484</v>
      </c>
      <c r="B65" s="1476" t="s">
        <v>482</v>
      </c>
      <c r="C65" s="1387"/>
      <c r="D65" s="1389"/>
    </row>
    <row r="66" spans="1:4" x14ac:dyDescent="0.2">
      <c r="A66" s="1473" t="s">
        <v>485</v>
      </c>
      <c r="B66" s="1476" t="s">
        <v>487</v>
      </c>
      <c r="C66" s="1387"/>
      <c r="D66" s="1389"/>
    </row>
    <row r="67" spans="1:4" x14ac:dyDescent="0.2">
      <c r="A67" s="1473" t="s">
        <v>486</v>
      </c>
      <c r="B67" s="1476" t="s">
        <v>797</v>
      </c>
      <c r="C67" s="1387"/>
      <c r="D67" s="1389"/>
    </row>
    <row r="68" spans="1:4" x14ac:dyDescent="0.2">
      <c r="A68" s="1473" t="s">
        <v>798</v>
      </c>
      <c r="B68" s="1476" t="s">
        <v>925</v>
      </c>
      <c r="C68" s="1387"/>
      <c r="D68" s="1389"/>
    </row>
    <row r="69" spans="1:4" x14ac:dyDescent="0.2">
      <c r="A69" s="1473" t="s">
        <v>799</v>
      </c>
      <c r="B69" s="1476" t="s">
        <v>1249</v>
      </c>
      <c r="C69" s="1387"/>
      <c r="D69" s="1389"/>
    </row>
    <row r="70" spans="1:4" x14ac:dyDescent="0.2">
      <c r="A70" s="1473" t="s">
        <v>1463</v>
      </c>
      <c r="B70" s="1476" t="s">
        <v>1462</v>
      </c>
      <c r="C70" s="1387"/>
      <c r="D70" s="1389"/>
    </row>
    <row r="71" spans="1:4" x14ac:dyDescent="0.2">
      <c r="A71" s="1473" t="s">
        <v>1464</v>
      </c>
      <c r="B71" s="1476" t="s">
        <v>1236</v>
      </c>
      <c r="C71" s="1387"/>
      <c r="D71" s="1475" t="s">
        <v>1726</v>
      </c>
    </row>
    <row r="72" spans="1:4" x14ac:dyDescent="0.2">
      <c r="A72" s="1473" t="s">
        <v>1465</v>
      </c>
      <c r="B72" s="1476" t="s">
        <v>1237</v>
      </c>
      <c r="C72" s="1387"/>
      <c r="D72" s="1475" t="s">
        <v>1727</v>
      </c>
    </row>
    <row r="73" spans="1:4" x14ac:dyDescent="0.2">
      <c r="A73" s="1473" t="s">
        <v>1466</v>
      </c>
      <c r="B73" s="1476" t="s">
        <v>1238</v>
      </c>
      <c r="C73" s="1387"/>
      <c r="D73" s="1475" t="s">
        <v>1728</v>
      </c>
    </row>
    <row r="74" spans="1:4" x14ac:dyDescent="0.2">
      <c r="A74" s="1473" t="s">
        <v>1467</v>
      </c>
      <c r="B74" s="1476" t="s">
        <v>1239</v>
      </c>
      <c r="C74" s="1387"/>
      <c r="D74" s="1475" t="s">
        <v>1729</v>
      </c>
    </row>
    <row r="75" spans="1:4" x14ac:dyDescent="0.2">
      <c r="A75" s="1473" t="s">
        <v>1468</v>
      </c>
      <c r="B75" s="1476" t="s">
        <v>1240</v>
      </c>
      <c r="C75" s="1387"/>
      <c r="D75" s="1475" t="s">
        <v>1730</v>
      </c>
    </row>
    <row r="76" spans="1:4" x14ac:dyDescent="0.2">
      <c r="A76" s="1473" t="s">
        <v>1294</v>
      </c>
      <c r="B76" s="1476" t="s">
        <v>1241</v>
      </c>
      <c r="C76" s="1387"/>
      <c r="D76" s="1475" t="s">
        <v>1731</v>
      </c>
    </row>
    <row r="77" spans="1:4" x14ac:dyDescent="0.2">
      <c r="A77" s="1473" t="s">
        <v>1295</v>
      </c>
      <c r="B77" s="1476" t="s">
        <v>1242</v>
      </c>
      <c r="C77" s="1387"/>
      <c r="D77" s="1475" t="s">
        <v>1732</v>
      </c>
    </row>
    <row r="78" spans="1:4" x14ac:dyDescent="0.2">
      <c r="A78" s="1473" t="s">
        <v>1296</v>
      </c>
      <c r="B78" s="1476" t="s">
        <v>1243</v>
      </c>
      <c r="C78" s="1387"/>
      <c r="D78" s="1475" t="s">
        <v>1733</v>
      </c>
    </row>
    <row r="79" spans="1:4" x14ac:dyDescent="0.2">
      <c r="A79" s="1473" t="s">
        <v>1297</v>
      </c>
      <c r="B79" s="1476" t="s">
        <v>1244</v>
      </c>
      <c r="C79" s="1387"/>
      <c r="D79" s="1475" t="s">
        <v>1734</v>
      </c>
    </row>
    <row r="80" spans="1:4" x14ac:dyDescent="0.2">
      <c r="A80" s="1473" t="s">
        <v>1298</v>
      </c>
      <c r="B80" s="1476" t="s">
        <v>1045</v>
      </c>
      <c r="C80" s="1387"/>
      <c r="D80" s="1475" t="s">
        <v>1306</v>
      </c>
    </row>
    <row r="81" spans="1:4" x14ac:dyDescent="0.2">
      <c r="A81" s="1473" t="s">
        <v>1299</v>
      </c>
      <c r="B81" s="1476" t="s">
        <v>1046</v>
      </c>
      <c r="C81" s="1387"/>
      <c r="D81" s="1475" t="s">
        <v>1307</v>
      </c>
    </row>
    <row r="82" spans="1:4" x14ac:dyDescent="0.2">
      <c r="A82" s="1473" t="s">
        <v>1300</v>
      </c>
      <c r="B82" s="1476" t="s">
        <v>1047</v>
      </c>
      <c r="C82" s="1387"/>
      <c r="D82" s="1475" t="s">
        <v>1308</v>
      </c>
    </row>
    <row r="83" spans="1:4" x14ac:dyDescent="0.2">
      <c r="A83" s="1473" t="s">
        <v>1301</v>
      </c>
      <c r="B83" s="1476" t="s">
        <v>1048</v>
      </c>
      <c r="C83" s="1387"/>
      <c r="D83" s="1475" t="s">
        <v>1309</v>
      </c>
    </row>
    <row r="84" spans="1:4" x14ac:dyDescent="0.2">
      <c r="A84" s="1473" t="s">
        <v>1725</v>
      </c>
      <c r="B84" s="1476" t="s">
        <v>1801</v>
      </c>
      <c r="C84" s="1387"/>
      <c r="D84" s="1475" t="s">
        <v>1310</v>
      </c>
    </row>
    <row r="85" spans="1:4" x14ac:dyDescent="0.2">
      <c r="A85" s="1392"/>
      <c r="B85" s="1393"/>
      <c r="C85" s="1394"/>
      <c r="D85" s="1395"/>
    </row>
    <row r="86" spans="1:4" x14ac:dyDescent="0.2">
      <c r="A86" s="1396"/>
      <c r="B86" s="1394"/>
      <c r="C86" s="1387"/>
      <c r="D86" s="1397"/>
    </row>
    <row r="87" spans="1:4" x14ac:dyDescent="0.2">
      <c r="A87" s="2734" t="s">
        <v>1088</v>
      </c>
      <c r="B87" s="2735"/>
      <c r="C87" s="1398"/>
    </row>
    <row r="88" spans="1:4" x14ac:dyDescent="0.2">
      <c r="A88" s="1478" t="s">
        <v>493</v>
      </c>
      <c r="B88" s="1479" t="s">
        <v>494</v>
      </c>
      <c r="C88" s="1387"/>
    </row>
    <row r="89" spans="1:4" x14ac:dyDescent="0.2">
      <c r="A89" s="1400"/>
      <c r="B89" s="1480" t="s">
        <v>715</v>
      </c>
      <c r="C89" s="1387"/>
    </row>
    <row r="90" spans="1:4" x14ac:dyDescent="0.2">
      <c r="A90" s="1396"/>
      <c r="B90" s="1481" t="s">
        <v>716</v>
      </c>
      <c r="C90" s="1387"/>
    </row>
    <row r="92" spans="1:4" x14ac:dyDescent="0.2">
      <c r="A92" s="2734" t="s">
        <v>431</v>
      </c>
      <c r="B92" s="2740"/>
      <c r="C92" s="2740"/>
      <c r="D92" s="2735"/>
    </row>
    <row r="93" spans="1:4" x14ac:dyDescent="0.2">
      <c r="A93" s="1603" t="s">
        <v>800</v>
      </c>
      <c r="B93" s="2643" t="str">
        <f>'Lookup and lists'!B28</f>
        <v>MP315 Thembisile Hani</v>
      </c>
      <c r="C93" s="1604"/>
      <c r="D93" s="1385"/>
    </row>
    <row r="94" spans="1:4" x14ac:dyDescent="0.2">
      <c r="A94" s="1603" t="s">
        <v>880</v>
      </c>
      <c r="B94" s="1605">
        <v>2</v>
      </c>
      <c r="C94" s="1604" t="s">
        <v>881</v>
      </c>
      <c r="D94" s="1482">
        <v>3</v>
      </c>
    </row>
    <row r="95" spans="1:4" x14ac:dyDescent="0.2">
      <c r="A95" s="1483" t="str">
        <f>IF((MuniEntities=1)*(MuniType=2),"YES","NO")</f>
        <v>NO</v>
      </c>
      <c r="B95" s="1175" t="s">
        <v>1020</v>
      </c>
      <c r="D95" s="1385"/>
    </row>
    <row r="96" spans="1:4" x14ac:dyDescent="0.2">
      <c r="A96" s="1482" t="s">
        <v>1656</v>
      </c>
      <c r="B96" s="1175" t="s">
        <v>1459</v>
      </c>
      <c r="D96" s="1482" t="s">
        <v>1513</v>
      </c>
    </row>
    <row r="97" spans="1:6" x14ac:dyDescent="0.2">
      <c r="A97" s="1482" t="s">
        <v>1250</v>
      </c>
      <c r="B97" s="1175" t="s">
        <v>1460</v>
      </c>
      <c r="D97" s="1482" t="s">
        <v>1252</v>
      </c>
    </row>
    <row r="98" spans="1:6" x14ac:dyDescent="0.2">
      <c r="A98" s="1482" t="s">
        <v>1251</v>
      </c>
      <c r="B98" s="1175" t="s">
        <v>1461</v>
      </c>
      <c r="D98" s="1482" t="s">
        <v>1253</v>
      </c>
    </row>
    <row r="99" spans="1:6" x14ac:dyDescent="0.2">
      <c r="A99" s="2738" t="s">
        <v>1089</v>
      </c>
      <c r="B99" s="2739"/>
      <c r="C99" s="1484" t="s">
        <v>1344</v>
      </c>
      <c r="D99" s="1485" t="s">
        <v>1343</v>
      </c>
      <c r="E99" s="1484" t="s">
        <v>1316</v>
      </c>
      <c r="F99" s="1485" t="s">
        <v>1316</v>
      </c>
    </row>
    <row r="100" spans="1:6" x14ac:dyDescent="0.2">
      <c r="A100" s="1400"/>
      <c r="B100" s="1486" t="str">
        <f t="shared" ref="B100:B109" si="0">IF(Consolques="YES",E100,F100)</f>
        <v>Table A1 Budget Summary</v>
      </c>
      <c r="C100" s="1399"/>
      <c r="D100" s="1473" t="s">
        <v>1812</v>
      </c>
      <c r="E100" s="1175" t="str">
        <f>D100&amp;"Consolidated Budget Summary"</f>
        <v>Table A1 Consolidated Budget Summary</v>
      </c>
      <c r="F100" s="1175" t="str">
        <f>D100&amp;"Budget Summary"</f>
        <v>Table A1 Budget Summary</v>
      </c>
    </row>
    <row r="101" spans="1:6" x14ac:dyDescent="0.2">
      <c r="A101" s="1400"/>
      <c r="B101" s="1486" t="str">
        <f t="shared" si="0"/>
        <v>Table A2 Budgeted Financial Performance (revenue and expenditure by standard classification)</v>
      </c>
      <c r="C101" s="1480" t="s">
        <v>634</v>
      </c>
      <c r="D101" s="1473" t="s">
        <v>1813</v>
      </c>
      <c r="E101" s="1175" t="str">
        <f>D101&amp;"Consolidated Budgeted Financial Performance (revenue and expenditure by standard classification)"</f>
        <v>Table A2 Consolidated Budgeted Financial Performance (revenue and expenditure by standard classification)</v>
      </c>
      <c r="F101" s="1175" t="str">
        <f>D101&amp;"Budgeted Financial Performance (revenue and expenditure by standard classification)"</f>
        <v>Table A2 Budgeted Financial Performance (revenue and expenditure by standard classification)</v>
      </c>
    </row>
    <row r="102" spans="1:6" x14ac:dyDescent="0.2">
      <c r="A102" s="1400"/>
      <c r="B102" s="1486" t="str">
        <f t="shared" si="0"/>
        <v>Table A3 Budgeted Financial Performance (revenue and expenditure by municipal vote)</v>
      </c>
      <c r="C102" s="1388"/>
      <c r="D102" s="1473" t="s">
        <v>1814</v>
      </c>
      <c r="E102" s="1175" t="str">
        <f>D102&amp;"Consolidated Budgeted Financial Performance (revenue and expenditure by municipal vote)"</f>
        <v>Table A3 Consolidated Budgeted Financial Performance (revenue and expenditure by municipal vote)</v>
      </c>
      <c r="F102" s="1175" t="str">
        <f>D102&amp;"Budgeted Financial Performance (revenue and expenditure by municipal vote)"</f>
        <v>Table A3 Budgeted Financial Performance (revenue and expenditure by municipal vote)</v>
      </c>
    </row>
    <row r="103" spans="1:6" x14ac:dyDescent="0.2">
      <c r="A103" s="1400"/>
      <c r="B103" s="1486" t="str">
        <f t="shared" si="0"/>
        <v>Table A4 Budgeted Financial Performance (revenue and expenditure)</v>
      </c>
      <c r="C103" s="1480" t="s">
        <v>633</v>
      </c>
      <c r="D103" s="1473" t="s">
        <v>1815</v>
      </c>
      <c r="E103" s="1175" t="str">
        <f>D103&amp;"Consolidated Budgeted Financial Performance (revenue and expenditure)"</f>
        <v>Table A4 Consolidated Budgeted Financial Performance (revenue and expenditure)</v>
      </c>
      <c r="F103" s="1175" t="str">
        <f>D103&amp;"Budgeted Financial Performance (revenue and expenditure)"</f>
        <v>Table A4 Budgeted Financial Performance (revenue and expenditure)</v>
      </c>
    </row>
    <row r="104" spans="1:6" x14ac:dyDescent="0.2">
      <c r="A104" s="1400"/>
      <c r="B104" s="1474" t="str">
        <f t="shared" si="0"/>
        <v>Table A5 Budgeted Capital Expenditure by vote, standard classification and funding</v>
      </c>
      <c r="C104" s="1480" t="s">
        <v>636</v>
      </c>
      <c r="D104" s="1473" t="s">
        <v>1816</v>
      </c>
      <c r="E104" s="1175" t="str">
        <f>D104&amp;"Consolidated Budgeted Capital Expenditure by vote, standard classification and funding"</f>
        <v>Table A5 Consolidated Budgeted Capital Expenditure by vote, standard classification and funding</v>
      </c>
      <c r="F104" s="1175" t="str">
        <f>D104&amp;"Budgeted Capital Expenditure by vote, standard classification and funding"</f>
        <v>Table A5 Budgeted Capital Expenditure by vote, standard classification and funding</v>
      </c>
    </row>
    <row r="105" spans="1:6" x14ac:dyDescent="0.2">
      <c r="A105" s="1400"/>
      <c r="B105" s="1474" t="str">
        <f t="shared" si="0"/>
        <v>Table A6 Budgeted Financial Position</v>
      </c>
      <c r="C105" s="1388"/>
      <c r="D105" s="1473" t="s">
        <v>1817</v>
      </c>
      <c r="E105" s="1175" t="str">
        <f>D105&amp;"Consolidated Budgeted Financial Position"</f>
        <v>Table A6 Consolidated Budgeted Financial Position</v>
      </c>
      <c r="F105" s="1175" t="str">
        <f>D105&amp;"Budgeted Financial Position"</f>
        <v>Table A6 Budgeted Financial Position</v>
      </c>
    </row>
    <row r="106" spans="1:6" x14ac:dyDescent="0.2">
      <c r="A106" s="1400"/>
      <c r="B106" s="1474" t="str">
        <f t="shared" si="0"/>
        <v>Table A7 Budgeted Cash Flows</v>
      </c>
      <c r="C106" s="1388"/>
      <c r="D106" s="1473" t="s">
        <v>1818</v>
      </c>
      <c r="E106" s="1175" t="str">
        <f>D106&amp;"Consolidated Budgeted Cash Flows"</f>
        <v>Table A7 Consolidated Budgeted Cash Flows</v>
      </c>
      <c r="F106" s="1175" t="str">
        <f>D106&amp;"Budgeted Cash Flows"</f>
        <v>Table A7 Budgeted Cash Flows</v>
      </c>
    </row>
    <row r="107" spans="1:6" x14ac:dyDescent="0.2">
      <c r="A107" s="1400"/>
      <c r="B107" s="1474" t="str">
        <f t="shared" si="0"/>
        <v>Table A8 Cash backed reserves/accumulated surplus reconciliation</v>
      </c>
      <c r="C107" s="1388"/>
      <c r="D107" s="1473" t="s">
        <v>1819</v>
      </c>
      <c r="E107" s="1487" t="str">
        <f>D107&amp;"Consolidated Cash backed reserves/accumulated surplus reconciliation"</f>
        <v>Table A8 Consolidated Cash backed reserves/accumulated surplus reconciliation</v>
      </c>
      <c r="F107" s="1487" t="str">
        <f>D107&amp;"Cash backed reserves/accumulated surplus reconciliation"</f>
        <v>Table A8 Cash backed reserves/accumulated surplus reconciliation</v>
      </c>
    </row>
    <row r="108" spans="1:6" x14ac:dyDescent="0.2">
      <c r="A108" s="1400"/>
      <c r="B108" s="1474" t="str">
        <f t="shared" si="0"/>
        <v>Table A9 Asset Management</v>
      </c>
      <c r="C108" s="1388"/>
      <c r="D108" s="1473" t="s">
        <v>1820</v>
      </c>
      <c r="E108" s="1175" t="str">
        <f>D108&amp;"Consolidated Asset Management"</f>
        <v>Table A9 Consolidated Asset Management</v>
      </c>
      <c r="F108" s="1175" t="str">
        <f>D108&amp;"Asset Management"</f>
        <v>Table A9 Asset Management</v>
      </c>
    </row>
    <row r="109" spans="1:6" x14ac:dyDescent="0.2">
      <c r="A109" s="1400"/>
      <c r="B109" s="1488" t="str">
        <f t="shared" si="0"/>
        <v>Table A10 Basic service delivery measurement</v>
      </c>
      <c r="C109" s="1401"/>
      <c r="D109" s="1489" t="s">
        <v>1821</v>
      </c>
      <c r="E109" s="1175" t="str">
        <f>D109&amp;"Consolidated basic service delivery measurement"</f>
        <v>Table A10 Consolidated basic service delivery measurement</v>
      </c>
      <c r="F109" s="1175" t="str">
        <f>D109&amp;"Basic service delivery measurement"</f>
        <v>Table A10 Basic service delivery measurement</v>
      </c>
    </row>
    <row r="110" spans="1:6" x14ac:dyDescent="0.2">
      <c r="A110" s="2736" t="s">
        <v>1365</v>
      </c>
      <c r="B110" s="2737"/>
      <c r="C110" s="1490" t="str">
        <f>$C$99</f>
        <v>Chart x-ref</v>
      </c>
      <c r="D110" s="1490" t="str">
        <f>$D$99</f>
        <v>Sch/Tab/Ch</v>
      </c>
    </row>
    <row r="111" spans="1:6" x14ac:dyDescent="0.2">
      <c r="A111" s="1491" t="s">
        <v>1366</v>
      </c>
      <c r="B111" s="1492" t="str">
        <f>A111&amp;" Supportinging detail to 'Budgeted Financial Performance'"</f>
        <v>Supporting Table SA1 Supportinging detail to 'Budgeted Financial Performance'</v>
      </c>
      <c r="C111" s="1402"/>
      <c r="D111" s="1402"/>
      <c r="E111" s="1387"/>
      <c r="F111" s="1387"/>
    </row>
    <row r="112" spans="1:6" x14ac:dyDescent="0.2">
      <c r="A112" s="1473" t="s">
        <v>1367</v>
      </c>
      <c r="B112" s="1474" t="str">
        <f>IF(Consolques="YES",E112,F112)</f>
        <v>Supporting Table SA2 Matrix Financial Performance Budget (revenue source/expenditure type and dept.)</v>
      </c>
      <c r="C112" s="1389"/>
      <c r="D112" s="1389"/>
      <c r="E112" s="1474" t="str">
        <f>A112&amp;"Consolidated Matrix Financial Performance Budget (revenue source/expenditure type &amp; dept.)"</f>
        <v>Supporting Table SA2 Consolidated Matrix Financial Performance Budget (revenue source/expenditure type &amp; dept.)</v>
      </c>
      <c r="F112" s="1474" t="str">
        <f>A112&amp;"Matrix Financial Performance Budget (revenue source/expenditure type and dept.)"</f>
        <v>Supporting Table SA2 Matrix Financial Performance Budget (revenue source/expenditure type and dept.)</v>
      </c>
    </row>
    <row r="113" spans="1:6" x14ac:dyDescent="0.2">
      <c r="A113" s="1473" t="s">
        <v>1368</v>
      </c>
      <c r="B113" s="1474" t="str">
        <f>A113&amp;"Supportinging detail to 'Budgeted Financial Position'"</f>
        <v>Supporting Table SA3 Supportinging detail to 'Budgeted Financial Position'</v>
      </c>
      <c r="C113" s="1389"/>
      <c r="D113" s="1389"/>
      <c r="E113" s="1387"/>
      <c r="F113" s="1387"/>
    </row>
    <row r="114" spans="1:6" x14ac:dyDescent="0.2">
      <c r="A114" s="1473" t="s">
        <v>1369</v>
      </c>
      <c r="B114" s="1474" t="str">
        <f>A114&amp;"Reconciliation of IDP strategic objectives and budget (revenue)"</f>
        <v>Supporting Table SA4 Reconciliation of IDP strategic objectives and budget (revenue)</v>
      </c>
      <c r="C114" s="1475" t="s">
        <v>1328</v>
      </c>
      <c r="D114" s="1389"/>
      <c r="E114" s="1387"/>
      <c r="F114" s="1387"/>
    </row>
    <row r="115" spans="1:6" x14ac:dyDescent="0.2">
      <c r="A115" s="1473" t="s">
        <v>41</v>
      </c>
      <c r="B115" s="1474" t="str">
        <f>A115&amp;"Reconciliation of IDP strategic objectives and budget (operating expenditure)"</f>
        <v>Supporting Table SA5 Reconciliation of IDP strategic objectives and budget (operating expenditure)</v>
      </c>
      <c r="C115" s="1475" t="s">
        <v>1329</v>
      </c>
      <c r="D115" s="1389"/>
      <c r="E115" s="1387"/>
      <c r="F115" s="1387"/>
    </row>
    <row r="116" spans="1:6" x14ac:dyDescent="0.2">
      <c r="A116" s="1473" t="s">
        <v>42</v>
      </c>
      <c r="B116" s="1474" t="str">
        <f>A116&amp;"Reconciliation of IDP strategic objectives and budget (capital expenditure)"</f>
        <v>Supporting Table SA6 Reconciliation of IDP strategic objectives and budget (capital expenditure)</v>
      </c>
      <c r="C116" s="1475" t="s">
        <v>1330</v>
      </c>
      <c r="D116" s="1389"/>
      <c r="E116" s="1387"/>
      <c r="F116" s="1387"/>
    </row>
    <row r="117" spans="1:6" x14ac:dyDescent="0.2">
      <c r="A117" s="1473" t="s">
        <v>43</v>
      </c>
      <c r="B117" s="1474" t="str">
        <f>A117&amp;" Measureable performance objectives"</f>
        <v>Supporting Table SA7 Measureable performance objectives</v>
      </c>
      <c r="C117" s="1389"/>
      <c r="D117" s="1389"/>
      <c r="E117" s="1387"/>
      <c r="F117" s="1387"/>
    </row>
    <row r="118" spans="1:6" x14ac:dyDescent="0.2">
      <c r="A118" s="1473" t="s">
        <v>44</v>
      </c>
      <c r="B118" s="1474" t="str">
        <f>A118&amp;" Performance indicators and benchmarks"</f>
        <v>Supporting Table SA8 Performance indicators and benchmarks</v>
      </c>
      <c r="C118" s="1475" t="s">
        <v>635</v>
      </c>
      <c r="D118" s="1389"/>
      <c r="E118" s="1387"/>
      <c r="F118" s="1387"/>
    </row>
    <row r="119" spans="1:6" x14ac:dyDescent="0.2">
      <c r="A119" s="1473" t="s">
        <v>45</v>
      </c>
      <c r="B119" s="1474" t="str">
        <f>A119&amp;" Social, economic and demographic statistics and assumptions"</f>
        <v>Supporting Table SA9 Social, economic and demographic statistics and assumptions</v>
      </c>
      <c r="C119" s="1389"/>
      <c r="D119" s="1389"/>
      <c r="E119" s="1387"/>
      <c r="F119" s="1387"/>
    </row>
    <row r="120" spans="1:6" x14ac:dyDescent="0.2">
      <c r="A120" s="1473" t="s">
        <v>986</v>
      </c>
      <c r="B120" s="1474" t="str">
        <f>A120&amp;" Funding measurement"</f>
        <v>Supporting Table SA10 Funding measurement</v>
      </c>
      <c r="C120" s="1475" t="s">
        <v>1331</v>
      </c>
      <c r="D120" s="1389"/>
      <c r="E120" s="1387"/>
      <c r="F120" s="1387"/>
    </row>
    <row r="121" spans="1:6" x14ac:dyDescent="0.2">
      <c r="A121" s="1473" t="s">
        <v>987</v>
      </c>
      <c r="B121" s="1486" t="str">
        <f>A121&amp;" Property rates summary"</f>
        <v>Supporting Table SA11 Property rates summary</v>
      </c>
      <c r="C121" s="1389"/>
      <c r="D121" s="1389"/>
      <c r="E121" s="1387"/>
      <c r="F121" s="1387"/>
    </row>
    <row r="122" spans="1:6" x14ac:dyDescent="0.2">
      <c r="A122" s="1473" t="s">
        <v>2037</v>
      </c>
      <c r="B122" s="1486" t="str">
        <f>A122&amp;" Property rates by category (current year)"</f>
        <v>Supporting Table SA12a Property rates by category (current year)</v>
      </c>
      <c r="C122" s="1389"/>
      <c r="D122" s="1389"/>
      <c r="E122" s="1387"/>
      <c r="F122" s="1387"/>
    </row>
    <row r="123" spans="1:6" x14ac:dyDescent="0.2">
      <c r="A123" s="1473" t="s">
        <v>2038</v>
      </c>
      <c r="B123" s="1486" t="str">
        <f>A123&amp;" Property rates by category (budget year)"</f>
        <v>Supporting Table SA12b Property rates by category (budget year)</v>
      </c>
      <c r="C123" s="1389"/>
      <c r="D123" s="1389"/>
      <c r="E123" s="1387"/>
      <c r="F123" s="1387"/>
    </row>
    <row r="124" spans="1:6" x14ac:dyDescent="0.2">
      <c r="A124" s="1473" t="s">
        <v>2261</v>
      </c>
      <c r="B124" s="1486" t="str">
        <f>A124&amp;" Service Tariffs by category"</f>
        <v>Supporting Table SA13a Service Tariffs by category</v>
      </c>
      <c r="C124" s="1389"/>
      <c r="D124" s="1389"/>
      <c r="E124" s="1387"/>
      <c r="F124" s="1387"/>
    </row>
    <row r="125" spans="1:6" x14ac:dyDescent="0.2">
      <c r="A125" s="1473" t="s">
        <v>2262</v>
      </c>
      <c r="B125" s="1486" t="str">
        <f>A125&amp;" Service Tariffs by category - explanatory"</f>
        <v>Supporting Table SA13b Service Tariffs by category - explanatory</v>
      </c>
      <c r="C125" s="1389"/>
      <c r="D125" s="1389"/>
      <c r="E125" s="1387"/>
      <c r="F125" s="1387"/>
    </row>
    <row r="126" spans="1:6" x14ac:dyDescent="0.2">
      <c r="A126" s="1473" t="s">
        <v>988</v>
      </c>
      <c r="B126" s="1486" t="str">
        <f>A126&amp;" Household bills"</f>
        <v>Supporting Table SA14 Household bills</v>
      </c>
      <c r="C126" s="1389"/>
      <c r="D126" s="1389"/>
      <c r="E126" s="1387"/>
      <c r="F126" s="1387"/>
    </row>
    <row r="127" spans="1:6" x14ac:dyDescent="0.2">
      <c r="A127" s="1473" t="s">
        <v>989</v>
      </c>
      <c r="B127" s="1474" t="str">
        <f>A127&amp;" Investment particulars by type"</f>
        <v>Supporting Table SA15 Investment particulars by type</v>
      </c>
      <c r="C127" s="1389"/>
      <c r="D127" s="1389"/>
      <c r="E127" s="1387"/>
      <c r="F127" s="1387"/>
    </row>
    <row r="128" spans="1:6" x14ac:dyDescent="0.2">
      <c r="A128" s="1473" t="s">
        <v>990</v>
      </c>
      <c r="B128" s="1474" t="str">
        <f>A128&amp;" Investment particulars by maturity"</f>
        <v>Supporting Table SA16 Investment particulars by maturity</v>
      </c>
      <c r="C128" s="1389"/>
      <c r="D128" s="1389"/>
      <c r="E128" s="1387"/>
      <c r="F128" s="1387"/>
    </row>
    <row r="129" spans="1:6" x14ac:dyDescent="0.2">
      <c r="A129" s="1473" t="s">
        <v>991</v>
      </c>
      <c r="B129" s="1474" t="str">
        <f>A129&amp;" Borrowing"</f>
        <v>Supporting Table SA17 Borrowing</v>
      </c>
      <c r="C129" s="1389"/>
      <c r="D129" s="1403"/>
      <c r="E129" s="1387"/>
      <c r="F129" s="1387"/>
    </row>
    <row r="130" spans="1:6" x14ac:dyDescent="0.2">
      <c r="A130" s="1473" t="s">
        <v>992</v>
      </c>
      <c r="B130" s="1474" t="str">
        <f>A130&amp;" Transfers and grant receipts"</f>
        <v>Supporting Table SA18 Transfers and grant receipts</v>
      </c>
      <c r="C130" s="1389"/>
      <c r="D130" s="1389"/>
      <c r="E130" s="1387"/>
      <c r="F130" s="1387"/>
    </row>
    <row r="131" spans="1:6" x14ac:dyDescent="0.2">
      <c r="A131" s="1473" t="s">
        <v>993</v>
      </c>
      <c r="B131" s="1474" t="str">
        <f>A131&amp;" Expenditure on transfers and grant programme"</f>
        <v>Supporting Table SA19 Expenditure on transfers and grant programme</v>
      </c>
      <c r="C131" s="1389"/>
      <c r="D131" s="1389"/>
      <c r="E131" s="1387"/>
      <c r="F131" s="1387"/>
    </row>
    <row r="132" spans="1:6" x14ac:dyDescent="0.2">
      <c r="A132" s="1473" t="s">
        <v>994</v>
      </c>
      <c r="B132" s="1474" t="str">
        <f>A132&amp;" Reconciliation of transfers, grant receipts and unspent funds"</f>
        <v>Supporting Table SA20 Reconciliation of transfers, grant receipts and unspent funds</v>
      </c>
      <c r="C132" s="1389"/>
      <c r="D132" s="1389"/>
      <c r="E132" s="1387"/>
      <c r="F132" s="1387"/>
    </row>
    <row r="133" spans="1:6" x14ac:dyDescent="0.2">
      <c r="A133" s="1473" t="s">
        <v>995</v>
      </c>
      <c r="B133" s="1474" t="str">
        <f>A133&amp;" Transfers and grants made by the municipality"</f>
        <v>Supporting Table SA21 Transfers and grants made by the municipality</v>
      </c>
      <c r="C133" s="1389"/>
      <c r="D133" s="1389"/>
      <c r="E133" s="1387"/>
      <c r="F133" s="1387"/>
    </row>
    <row r="134" spans="1:6" x14ac:dyDescent="0.2">
      <c r="A134" s="1473" t="s">
        <v>996</v>
      </c>
      <c r="B134" s="1474" t="str">
        <f>A134&amp;" Summary councillor and staff benefits"</f>
        <v>Supporting Table SA22 Summary councillor and staff benefits</v>
      </c>
      <c r="C134" s="1389"/>
      <c r="D134" s="1403"/>
      <c r="E134" s="1387"/>
      <c r="F134" s="1387"/>
    </row>
    <row r="135" spans="1:6" x14ac:dyDescent="0.2">
      <c r="A135" s="1473" t="s">
        <v>997</v>
      </c>
      <c r="B135" s="1474" t="str">
        <f>A135&amp;" Salaries, allowances &amp; benefits (political office bearers/councillors/senior managers)"</f>
        <v>Supporting Table SA23 Salaries, allowances &amp; benefits (political office bearers/councillors/senior managers)</v>
      </c>
      <c r="C135" s="1389"/>
      <c r="D135" s="1403"/>
      <c r="E135" s="1387"/>
      <c r="F135" s="1387"/>
    </row>
    <row r="136" spans="1:6" x14ac:dyDescent="0.2">
      <c r="A136" s="1473" t="s">
        <v>998</v>
      </c>
      <c r="B136" s="1474" t="str">
        <f>A136&amp;" Summary of personnel numbers"</f>
        <v>Supporting Table SA24 Summary of personnel numbers</v>
      </c>
      <c r="C136" s="1389"/>
      <c r="D136" s="1389"/>
      <c r="E136" s="1387"/>
      <c r="F136" s="1387"/>
    </row>
    <row r="137" spans="1:6" x14ac:dyDescent="0.2">
      <c r="A137" s="1473" t="s">
        <v>999</v>
      </c>
      <c r="B137" s="1486" t="str">
        <f t="shared" ref="B137:B143" si="1">IF(Consolques="YES",E137,F137)</f>
        <v>Supporting Table SA25 Budgeted monthly revenue and expenditure</v>
      </c>
      <c r="C137" s="1389"/>
      <c r="D137" s="1389"/>
      <c r="E137" s="1474" t="str">
        <f>A137&amp;" Consolidated budgeted monthly revenue and expenditure"</f>
        <v>Supporting Table SA25 Consolidated budgeted monthly revenue and expenditure</v>
      </c>
      <c r="F137" s="1474" t="str">
        <f>A137&amp;" Budgeted monthly revenue and expenditure"</f>
        <v>Supporting Table SA25 Budgeted monthly revenue and expenditure</v>
      </c>
    </row>
    <row r="138" spans="1:6" x14ac:dyDescent="0.2">
      <c r="A138" s="1473" t="s">
        <v>1000</v>
      </c>
      <c r="B138" s="1486" t="str">
        <f t="shared" si="1"/>
        <v>Supporting Table SA26 Budgeted monthly revenue and expenditure (municipal vote)</v>
      </c>
      <c r="C138" s="1389"/>
      <c r="D138" s="1389"/>
      <c r="E138" s="1474" t="str">
        <f>A138&amp;" Consolidated budgeted monthly revenue and expenditure (municipal vote)"</f>
        <v>Supporting Table SA26 Consolidated budgeted monthly revenue and expenditure (municipal vote)</v>
      </c>
      <c r="F138" s="1474" t="str">
        <f>A138&amp;" Budgeted monthly revenue and expenditure (municipal vote)"</f>
        <v>Supporting Table SA26 Budgeted monthly revenue and expenditure (municipal vote)</v>
      </c>
    </row>
    <row r="139" spans="1:6" x14ac:dyDescent="0.2">
      <c r="A139" s="1473" t="s">
        <v>1001</v>
      </c>
      <c r="B139" s="1486" t="str">
        <f t="shared" si="1"/>
        <v>Supporting Table SA27 Budgeted monthly revenue and expenditure (standard classification)</v>
      </c>
      <c r="C139" s="1389"/>
      <c r="D139" s="1389"/>
      <c r="E139" s="1474" t="str">
        <f>A139&amp;" Consolidated budgeted monthly revenue and expenditure (standard classification)"</f>
        <v>Supporting Table SA27 Consolidated budgeted monthly revenue and expenditure (standard classification)</v>
      </c>
      <c r="F139" s="1474" t="str">
        <f>A139&amp;" Budgeted monthly revenue and expenditure (standard classification)"</f>
        <v>Supporting Table SA27 Budgeted monthly revenue and expenditure (standard classification)</v>
      </c>
    </row>
    <row r="140" spans="1:6" x14ac:dyDescent="0.2">
      <c r="A140" s="1473" t="s">
        <v>1002</v>
      </c>
      <c r="B140" s="1486" t="str">
        <f t="shared" si="1"/>
        <v>Supporting Table SA28 Budgeted monthly capital expenditure (municipal vote)</v>
      </c>
      <c r="C140" s="1389"/>
      <c r="D140" s="1389"/>
      <c r="E140" s="1474" t="str">
        <f>A140&amp;" Consolidated budgeted monthly capital expenditure (municipal vote)"</f>
        <v>Supporting Table SA28 Consolidated budgeted monthly capital expenditure (municipal vote)</v>
      </c>
      <c r="F140" s="1474" t="str">
        <f>A140&amp;" Budgeted monthly capital expenditure (municipal vote)"</f>
        <v>Supporting Table SA28 Budgeted monthly capital expenditure (municipal vote)</v>
      </c>
    </row>
    <row r="141" spans="1:6" x14ac:dyDescent="0.2">
      <c r="A141" s="1473" t="s">
        <v>1003</v>
      </c>
      <c r="B141" s="1486" t="str">
        <f t="shared" si="1"/>
        <v>Supporting Table SA29 Budgeted monthly capital expenditure (standard classification)</v>
      </c>
      <c r="C141" s="1389"/>
      <c r="D141" s="1389"/>
      <c r="E141" s="1474" t="str">
        <f>A141&amp;" Consolidated budgeted monthly capital expenditure (standard classification)"</f>
        <v>Supporting Table SA29 Consolidated budgeted monthly capital expenditure (standard classification)</v>
      </c>
      <c r="F141" s="1474" t="str">
        <f>A141&amp;" Budgeted monthly capital expenditure (standard classification)"</f>
        <v>Supporting Table SA29 Budgeted monthly capital expenditure (standard classification)</v>
      </c>
    </row>
    <row r="142" spans="1:6" x14ac:dyDescent="0.2">
      <c r="A142" s="1473" t="s">
        <v>1004</v>
      </c>
      <c r="B142" s="1486" t="str">
        <f t="shared" si="1"/>
        <v>Supporting Table SA30 Budgeted monthly cash flow</v>
      </c>
      <c r="C142" s="1389"/>
      <c r="D142" s="1389"/>
      <c r="E142" s="1474" t="str">
        <f>A142&amp;" Consolidated budgeted monthly cash flow"</f>
        <v>Supporting Table SA30 Consolidated budgeted monthly cash flow</v>
      </c>
      <c r="F142" s="1474" t="str">
        <f>A142&amp;" Budgeted monthly cash flow"</f>
        <v>Supporting Table SA30 Budgeted monthly cash flow</v>
      </c>
    </row>
    <row r="143" spans="1:6" x14ac:dyDescent="0.2">
      <c r="A143" s="1473" t="s">
        <v>1005</v>
      </c>
      <c r="B143" s="1474" t="str">
        <f t="shared" si="1"/>
        <v>NOT REQUIRED - municipality does not have entities</v>
      </c>
      <c r="C143" s="1389"/>
      <c r="D143" s="1389"/>
      <c r="E143" s="1474" t="str">
        <f>A143&amp;" Aggregated entity budget"</f>
        <v>Supporting Table SA31 Aggregated entity budget</v>
      </c>
      <c r="F143" s="1474" t="s">
        <v>1021</v>
      </c>
    </row>
    <row r="144" spans="1:6" x14ac:dyDescent="0.2">
      <c r="A144" s="1473" t="s">
        <v>1006</v>
      </c>
      <c r="B144" s="1474" t="str">
        <f>A144&amp;" List of external mechanisms"</f>
        <v>Supporting Table SA32 List of external mechanisms</v>
      </c>
      <c r="C144" s="1389"/>
      <c r="D144" s="1389"/>
      <c r="E144" s="1387"/>
      <c r="F144" s="1387"/>
    </row>
    <row r="145" spans="1:6" x14ac:dyDescent="0.2">
      <c r="A145" s="1473" t="s">
        <v>1007</v>
      </c>
      <c r="B145" s="1474" t="str">
        <f>A145&amp;" Contracts having future budgetary implications"</f>
        <v>Supporting Table SA33 Contracts having future budgetary implications</v>
      </c>
      <c r="C145" s="1389"/>
      <c r="D145" s="1389"/>
      <c r="E145" s="1387"/>
      <c r="F145" s="1387"/>
    </row>
    <row r="146" spans="1:6" x14ac:dyDescent="0.2">
      <c r="A146" s="1473" t="s">
        <v>1649</v>
      </c>
      <c r="B146" s="1474" t="str">
        <f t="shared" ref="B146:B152" si="2">IF(Consolques="YES",E146,F146)</f>
        <v>Supporting Table SA34a Capital expenditure on new assets by asset class</v>
      </c>
      <c r="C146" s="1389"/>
      <c r="D146" s="1389"/>
      <c r="E146" s="1474" t="str">
        <f>A146&amp;" Consolidated capital expenditure on new assets by asset class"</f>
        <v>Supporting Table SA34a Consolidated capital expenditure on new assets by asset class</v>
      </c>
      <c r="F146" s="1474" t="str">
        <f>A146&amp;" Capital expenditure on new assets by asset class"</f>
        <v>Supporting Table SA34a Capital expenditure on new assets by asset class</v>
      </c>
    </row>
    <row r="147" spans="1:6" x14ac:dyDescent="0.2">
      <c r="A147" s="1473" t="s">
        <v>1650</v>
      </c>
      <c r="B147" s="1474" t="str">
        <f t="shared" si="2"/>
        <v>Supporting Table SA34b Capital expenditure on the renewal of existing assets by asset class</v>
      </c>
      <c r="C147" s="1389"/>
      <c r="D147" s="1389"/>
      <c r="E147" s="1474" t="str">
        <f>A147&amp;" Consolidated capital expenditure on existing assets by asset class"</f>
        <v>Supporting Table SA34b Consolidated capital expenditure on existing assets by asset class</v>
      </c>
      <c r="F147" s="1474" t="str">
        <f>A147&amp;" Capital expenditure on the renewal of existing assets by asset class"</f>
        <v>Supporting Table SA34b Capital expenditure on the renewal of existing assets by asset class</v>
      </c>
    </row>
    <row r="148" spans="1:6" x14ac:dyDescent="0.2">
      <c r="A148" s="1473" t="s">
        <v>1651</v>
      </c>
      <c r="B148" s="1474" t="str">
        <f t="shared" si="2"/>
        <v>Supporting Table SA34c Repairs and maintenance expenditure by asset class</v>
      </c>
      <c r="C148" s="1389"/>
      <c r="D148" s="1389"/>
      <c r="E148" s="1474" t="str">
        <f>A148&amp;" Consolidated repairs and maintenance by asset class"</f>
        <v>Supporting Table SA34c Consolidated repairs and maintenance by asset class</v>
      </c>
      <c r="F148" s="1474" t="str">
        <f>A148&amp;" Repairs and maintenance expenditure by asset class"</f>
        <v>Supporting Table SA34c Repairs and maintenance expenditure by asset class</v>
      </c>
    </row>
    <row r="149" spans="1:6" x14ac:dyDescent="0.2">
      <c r="A149" s="1473" t="s">
        <v>2034</v>
      </c>
      <c r="B149" s="1474" t="str">
        <f>IF(Consolques="YES",E149,F149)</f>
        <v>Supporting Table SA34d Depreciation by asset class</v>
      </c>
      <c r="C149" s="1389"/>
      <c r="D149" s="1389"/>
      <c r="E149" s="1474" t="str">
        <f>A149&amp;" Consolidated Depreciation by asset class"</f>
        <v>Supporting Table SA34d Consolidated Depreciation by asset class</v>
      </c>
      <c r="F149" s="1474" t="str">
        <f>A149&amp;" Depreciation by asset class"</f>
        <v>Supporting Table SA34d Depreciation by asset class</v>
      </c>
    </row>
    <row r="150" spans="1:6" x14ac:dyDescent="0.2">
      <c r="A150" s="1473" t="s">
        <v>1008</v>
      </c>
      <c r="B150" s="1474" t="str">
        <f t="shared" si="2"/>
        <v>Supporting Table SA35 Future financial implications of the capital budget</v>
      </c>
      <c r="C150" s="1389"/>
      <c r="D150" s="1389"/>
      <c r="E150" s="1474" t="str">
        <f>A150&amp;" Consolidated future financial implications of the capital budget"</f>
        <v>Supporting Table SA35 Consolidated future financial implications of the capital budget</v>
      </c>
      <c r="F150" s="1474" t="str">
        <f>A150&amp; " Future financial implications of the capital budget"</f>
        <v>Supporting Table SA35 Future financial implications of the capital budget</v>
      </c>
    </row>
    <row r="151" spans="1:6" x14ac:dyDescent="0.2">
      <c r="A151" s="1473" t="s">
        <v>1009</v>
      </c>
      <c r="B151" s="1474" t="str">
        <f t="shared" si="2"/>
        <v>Supporting Table SA36 Detailed capital budget</v>
      </c>
      <c r="C151" s="1389"/>
      <c r="D151" s="1389"/>
      <c r="E151" s="1474" t="str">
        <f>A151&amp;" Consolidated detailed capital budget"</f>
        <v>Supporting Table SA36 Consolidated detailed capital budget</v>
      </c>
      <c r="F151" s="1474" t="str">
        <f>A151&amp; " Detailed capital budget"</f>
        <v>Supporting Table SA36 Detailed capital budget</v>
      </c>
    </row>
    <row r="152" spans="1:6" x14ac:dyDescent="0.2">
      <c r="A152" s="1473" t="s">
        <v>1010</v>
      </c>
      <c r="B152" s="1488" t="str">
        <f t="shared" si="2"/>
        <v>Supporting Table SA37 Projects delayed from previous financial year/s</v>
      </c>
      <c r="C152" s="1395"/>
      <c r="D152" s="1386"/>
      <c r="E152" s="1474" t="str">
        <f>A152&amp;" Consolidated projects delayed from previous financial year/s"</f>
        <v>Supporting Table SA37 Consolidated projects delayed from previous financial year/s</v>
      </c>
      <c r="F152" s="1474" t="str">
        <f>A152&amp; " Projects delayed from previous financial year/s"</f>
        <v>Supporting Table SA37 Projects delayed from previous financial year/s</v>
      </c>
    </row>
    <row r="153" spans="1:6" x14ac:dyDescent="0.2">
      <c r="A153" s="1496"/>
      <c r="B153" s="1488"/>
      <c r="C153" s="1395"/>
      <c r="D153" s="1386"/>
      <c r="E153" s="1474"/>
      <c r="F153" s="1474"/>
    </row>
    <row r="154" spans="1:6" x14ac:dyDescent="0.2">
      <c r="A154" s="1493" t="s">
        <v>1065</v>
      </c>
      <c r="B154" s="1494" t="s">
        <v>1345</v>
      </c>
      <c r="C154" s="1495" t="s">
        <v>1091</v>
      </c>
      <c r="D154" s="1392"/>
    </row>
    <row r="155" spans="1:6" x14ac:dyDescent="0.2">
      <c r="A155" s="1496" t="s">
        <v>1824</v>
      </c>
      <c r="B155" s="1497" t="str">
        <f>A155&amp;"Revenue by Municipal Vote"</f>
        <v>Chart A1 Revenue by Municipal Vote</v>
      </c>
      <c r="C155" s="1402"/>
      <c r="D155" s="1404"/>
    </row>
    <row r="156" spans="1:6" x14ac:dyDescent="0.2">
      <c r="A156" s="1496" t="s">
        <v>1825</v>
      </c>
      <c r="B156" s="1498" t="str">
        <f>A156&amp;"Expenditure by Municipal Vote"</f>
        <v>Chart A2 Expenditure by Municipal Vote</v>
      </c>
      <c r="C156" s="1389"/>
      <c r="D156" s="1397"/>
    </row>
    <row r="157" spans="1:6" x14ac:dyDescent="0.2">
      <c r="A157" s="1496" t="s">
        <v>1826</v>
      </c>
      <c r="B157" s="1498" t="str">
        <f>A157&amp;"Revenue by Standard Classification"</f>
        <v>Chart A3 Revenue by Standard Classification</v>
      </c>
      <c r="C157" s="1475" t="s">
        <v>1090</v>
      </c>
      <c r="D157" s="1387"/>
    </row>
    <row r="158" spans="1:6" x14ac:dyDescent="0.2">
      <c r="A158" s="1496" t="s">
        <v>1827</v>
      </c>
      <c r="B158" s="1498" t="str">
        <f>A158&amp;"Expenditure by Standard Classification"</f>
        <v>Chart A4 Expenditure by Standard Classification</v>
      </c>
      <c r="C158" s="1475" t="s">
        <v>1090</v>
      </c>
      <c r="D158" s="1387"/>
    </row>
    <row r="159" spans="1:6" x14ac:dyDescent="0.2">
      <c r="A159" s="1496" t="s">
        <v>1828</v>
      </c>
      <c r="B159" s="1498" t="str">
        <f>A159&amp;"Revenue by Major Source (refer 'Minor' source for 'Other Revenue' allocation"</f>
        <v>Chart A5 Revenue by Major Source (refer 'Minor' source for 'Other Revenue' allocation</v>
      </c>
      <c r="C159" s="1475" t="s">
        <v>1092</v>
      </c>
      <c r="D159" s="1387"/>
    </row>
    <row r="160" spans="1:6" x14ac:dyDescent="0.2">
      <c r="A160" s="1496" t="s">
        <v>1829</v>
      </c>
      <c r="B160" s="1498" t="str">
        <f>A160&amp;"Revenue by Minor Source (Other)"</f>
        <v>Chart A6 Revenue by Minor Source (Other)</v>
      </c>
      <c r="C160" s="1475" t="s">
        <v>1092</v>
      </c>
      <c r="D160" s="1387"/>
    </row>
    <row r="161" spans="1:4" x14ac:dyDescent="0.2">
      <c r="A161" s="1496" t="s">
        <v>1830</v>
      </c>
      <c r="B161" s="1498" t="str">
        <f>A161&amp;"Expenditure by Major Type"</f>
        <v>Chart A7 Expenditure by Major Type</v>
      </c>
      <c r="C161" s="1475" t="s">
        <v>1092</v>
      </c>
      <c r="D161" s="1387"/>
    </row>
    <row r="162" spans="1:4" x14ac:dyDescent="0.2">
      <c r="A162" s="1496" t="s">
        <v>1831</v>
      </c>
      <c r="B162" s="1498" t="str">
        <f>A162&amp;"Expenditure by Minor Type (Other)"</f>
        <v>Chart A8 Expenditure by Minor Type (Other)</v>
      </c>
      <c r="C162" s="1475" t="s">
        <v>1092</v>
      </c>
      <c r="D162" s="1387"/>
    </row>
    <row r="163" spans="1:4" x14ac:dyDescent="0.2">
      <c r="A163" s="1496" t="s">
        <v>1832</v>
      </c>
      <c r="B163" s="1498" t="str">
        <f>A163&amp;"Capital Expenditure by Municipal Vote/Appropriation (Major)"</f>
        <v>Chart A9 Capital Expenditure by Municipal Vote/Appropriation (Major)</v>
      </c>
      <c r="C163" s="1475" t="s">
        <v>1093</v>
      </c>
      <c r="D163" s="1387"/>
    </row>
    <row r="164" spans="1:4" x14ac:dyDescent="0.2">
      <c r="A164" s="1496" t="s">
        <v>1833</v>
      </c>
      <c r="B164" s="1498" t="str">
        <f>A164&amp;"Capital Expenditure by Municipal Vote/Appropriation (Minor)"</f>
        <v>Chart A10 Capital Expenditure by Municipal Vote/Appropriation (Minor)</v>
      </c>
      <c r="C164" s="1475" t="s">
        <v>1093</v>
      </c>
      <c r="D164" s="1387"/>
    </row>
    <row r="165" spans="1:4" x14ac:dyDescent="0.2">
      <c r="A165" s="1496" t="s">
        <v>1834</v>
      </c>
      <c r="B165" s="1498" t="str">
        <f>A164&amp;"Capital Expenditure by Standard Classification"</f>
        <v>Chart A10 Capital Expenditure by Standard Classification</v>
      </c>
      <c r="C165" s="1475" t="s">
        <v>1093</v>
      </c>
      <c r="D165" s="1387"/>
    </row>
    <row r="166" spans="1:4" x14ac:dyDescent="0.2">
      <c r="A166" s="1496" t="s">
        <v>1835</v>
      </c>
      <c r="B166" s="1498" t="str">
        <f>A166&amp;"Capital expenditure performance trend"</f>
        <v>Chart A12 Capital expenditure performance trend</v>
      </c>
      <c r="C166" s="1475" t="s">
        <v>1093</v>
      </c>
      <c r="D166" s="1387"/>
    </row>
    <row r="167" spans="1:4" x14ac:dyDescent="0.2">
      <c r="A167" s="1496" t="s">
        <v>1836</v>
      </c>
      <c r="B167" s="1498" t="str">
        <f>A167&amp;"Capital funding by Source"</f>
        <v>Chart A13 Capital funding by Source</v>
      </c>
      <c r="C167" s="1475" t="s">
        <v>1093</v>
      </c>
      <c r="D167" s="1387"/>
    </row>
    <row r="168" spans="1:4" x14ac:dyDescent="0.2">
      <c r="A168" s="1496" t="s">
        <v>1837</v>
      </c>
      <c r="B168" s="1498" t="str">
        <f>A168&amp;"Cash flow trend"</f>
        <v>Chart A14 Cash flow trend</v>
      </c>
      <c r="C168" s="1475" t="s">
        <v>1094</v>
      </c>
      <c r="D168" s="1387"/>
    </row>
    <row r="169" spans="1:4" x14ac:dyDescent="0.2">
      <c r="A169" s="1496" t="s">
        <v>1838</v>
      </c>
      <c r="B169" s="1498" t="str">
        <f>A169&amp;"IDP Strategic Objective - Revenue"</f>
        <v>Chart A15 IDP Strategic Objective - Revenue</v>
      </c>
      <c r="C169" s="1475" t="s">
        <v>313</v>
      </c>
      <c r="D169" s="1387"/>
    </row>
    <row r="170" spans="1:4" x14ac:dyDescent="0.2">
      <c r="A170" s="1496" t="s">
        <v>1839</v>
      </c>
      <c r="B170" s="1498" t="str">
        <f>A170&amp;"IDP Strategic Objective - Expenditure"</f>
        <v>Chart A16 IDP Strategic Objective - Expenditure</v>
      </c>
      <c r="C170" s="1475" t="s">
        <v>314</v>
      </c>
      <c r="D170" s="1387"/>
    </row>
    <row r="171" spans="1:4" x14ac:dyDescent="0.2">
      <c r="A171" s="1496" t="s">
        <v>1840</v>
      </c>
      <c r="B171" s="1498" t="str">
        <f>A171&amp;"IDP Strategic Objective - Capital Expenditure"</f>
        <v>Chart A17 IDP Strategic Objective - Capital Expenditure</v>
      </c>
      <c r="C171" s="1475" t="s">
        <v>315</v>
      </c>
    </row>
    <row r="172" spans="1:4" x14ac:dyDescent="0.2">
      <c r="A172" s="1496" t="s">
        <v>1841</v>
      </c>
      <c r="B172" s="1498" t="str">
        <f>A172&amp;"Debt (borrowing to Total Revenue)"</f>
        <v>Chart A18 Debt (borrowing to Total Revenue)</v>
      </c>
      <c r="C172" s="1475" t="s">
        <v>316</v>
      </c>
    </row>
    <row r="173" spans="1:4" x14ac:dyDescent="0.2">
      <c r="A173" s="1496" t="s">
        <v>1842</v>
      </c>
      <c r="B173" s="1498" t="str">
        <f>A173&amp;"Debtors' trend analysis"</f>
        <v>Chart A19 Debtors' trend analysis</v>
      </c>
      <c r="C173" s="1475" t="s">
        <v>316</v>
      </c>
    </row>
    <row r="174" spans="1:4" x14ac:dyDescent="0.2">
      <c r="A174" s="1496" t="s">
        <v>1843</v>
      </c>
      <c r="B174" s="1498" t="str">
        <f>A174&amp;"Distribution losses"</f>
        <v>Chart A20 Distribution losses</v>
      </c>
      <c r="C174" s="1475" t="s">
        <v>316</v>
      </c>
    </row>
    <row r="175" spans="1:4" x14ac:dyDescent="0.2">
      <c r="A175" s="1496" t="s">
        <v>1844</v>
      </c>
      <c r="B175" s="1498" t="str">
        <f>A175&amp;"Borrowed funding of capital expenditure"</f>
        <v>Chart A21 Borrowed funding of capital expenditure</v>
      </c>
      <c r="C175" s="1475" t="s">
        <v>316</v>
      </c>
    </row>
    <row r="176" spans="1:4" x14ac:dyDescent="0.2">
      <c r="A176" s="1496" t="s">
        <v>1845</v>
      </c>
      <c r="B176" s="1498" t="str">
        <f>A176&amp;"Expenditure analysis (% of Revenue)"</f>
        <v>Chart A22 Expenditure analysis (% of Revenue)</v>
      </c>
      <c r="C176" s="1475" t="s">
        <v>316</v>
      </c>
    </row>
    <row r="177" spans="1:5" x14ac:dyDescent="0.2">
      <c r="A177" s="1489" t="s">
        <v>1846</v>
      </c>
      <c r="B177" s="1499" t="str">
        <f>A177&amp;"Increases in service charges"</f>
        <v>Chart A23 Increases in service charges</v>
      </c>
      <c r="C177" s="1500" t="s">
        <v>632</v>
      </c>
    </row>
    <row r="178" spans="1:5" x14ac:dyDescent="0.2">
      <c r="A178" s="1384"/>
    </row>
    <row r="179" spans="1:5" x14ac:dyDescent="0.2">
      <c r="A179" s="1384"/>
    </row>
    <row r="180" spans="1:5" x14ac:dyDescent="0.2">
      <c r="A180" s="1384"/>
    </row>
    <row r="181" spans="1:5" x14ac:dyDescent="0.2">
      <c r="D181" s="1397"/>
      <c r="E181" s="1387"/>
    </row>
  </sheetData>
  <customSheetViews>
    <customSheetView guid="{F50C5479-5CC4-4FD7-8319-543D29E829F0}" fitToPage="1" state="veryHidden" topLeftCell="B1">
      <pane ySplit="1" topLeftCell="A2" activePane="bottomLeft" state="frozen"/>
      <selection pane="bottomLeft" activeCell="B6" sqref="B6"/>
      <pageMargins left="0.39370078740157483" right="0.15748031496062992" top="0.51181102362204722" bottom="0.55118110236220474" header="0.51181102362204722" footer="0.39370078740157483"/>
      <printOptions horizontalCentered="1" verticalCentered="1"/>
      <pageSetup paperSize="9" scale="32" orientation="portrait" r:id="rId1"/>
      <headerFooter alignWithMargins="0"/>
    </customSheetView>
  </customSheetViews>
  <mergeCells count="5">
    <mergeCell ref="A1:D1"/>
    <mergeCell ref="A87:B87"/>
    <mergeCell ref="A110:B110"/>
    <mergeCell ref="A99:B99"/>
    <mergeCell ref="A92:D9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3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5786" r:id="rId5"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2"/>
    <pageSetUpPr fitToPage="1"/>
  </sheetPr>
  <dimension ref="A1:L112"/>
  <sheetViews>
    <sheetView showGridLines="0" zoomScaleNormal="100" workbookViewId="0">
      <pane xSplit="2" ySplit="4" topLeftCell="E5" activePane="bottomRight" state="frozen"/>
      <selection activeCell="F35" sqref="F35"/>
      <selection pane="topRight" activeCell="F35" sqref="F35"/>
      <selection pane="bottomLeft" activeCell="F35" sqref="F35"/>
      <selection pane="bottomRight" activeCell="I79" sqref="I79"/>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"&amp;TableA11</f>
        <v>MP315 Thembisile Hani - Supporting Table SA11 Property rates summary</v>
      </c>
      <c r="B1" s="147"/>
      <c r="C1" s="147"/>
      <c r="D1" s="147"/>
      <c r="E1" s="147"/>
      <c r="F1" s="147"/>
      <c r="G1" s="147"/>
      <c r="H1" s="147"/>
      <c r="I1" s="147"/>
      <c r="J1" s="147"/>
      <c r="K1" s="147"/>
    </row>
    <row r="2" spans="1:11" ht="28.5" customHeight="1" x14ac:dyDescent="0.25">
      <c r="A2" s="2822" t="str">
        <f>desc</f>
        <v>Description</v>
      </c>
      <c r="B2" s="2793" t="str">
        <f>head27</f>
        <v>Ref</v>
      </c>
      <c r="C2" s="145"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2823"/>
      <c r="B3" s="2794"/>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2015/16</v>
      </c>
      <c r="J3" s="152" t="str">
        <f>Head10</f>
        <v>Budget Year +1 2016/17</v>
      </c>
      <c r="K3" s="153" t="str">
        <f>Head11</f>
        <v>Budget Year +2 2017/18</v>
      </c>
    </row>
    <row r="4" spans="1:11" ht="4.5" customHeight="1" x14ac:dyDescent="0.25">
      <c r="A4" s="180"/>
      <c r="B4" s="2799"/>
      <c r="C4" s="157"/>
      <c r="D4" s="138"/>
      <c r="E4" s="156"/>
      <c r="F4" s="155"/>
      <c r="G4" s="138"/>
      <c r="H4" s="156"/>
      <c r="I4" s="155"/>
      <c r="J4" s="138"/>
      <c r="K4" s="156"/>
    </row>
    <row r="5" spans="1:11" ht="11.25" customHeight="1" x14ac:dyDescent="0.25">
      <c r="A5" s="181" t="s">
        <v>753</v>
      </c>
      <c r="B5" s="592">
        <v>1</v>
      </c>
      <c r="C5" s="593"/>
      <c r="D5" s="593"/>
      <c r="E5" s="222"/>
      <c r="F5" s="594"/>
      <c r="G5" s="2061"/>
      <c r="H5" s="2062"/>
      <c r="I5" s="2063"/>
      <c r="J5" s="2061"/>
      <c r="K5" s="2064"/>
    </row>
    <row r="6" spans="1:11" ht="11.25" customHeight="1" x14ac:dyDescent="0.25">
      <c r="A6" s="190" t="s">
        <v>752</v>
      </c>
      <c r="B6" s="556"/>
      <c r="C6" s="1837" t="s">
        <v>2658</v>
      </c>
      <c r="D6" s="1837" t="s">
        <v>2659</v>
      </c>
      <c r="E6" s="1838"/>
      <c r="F6" s="1839"/>
      <c r="G6" s="2065"/>
      <c r="H6" s="2066"/>
      <c r="I6" s="2067"/>
      <c r="J6" s="2065"/>
      <c r="K6" s="2068"/>
    </row>
    <row r="7" spans="1:11" ht="11.25" customHeight="1" x14ac:dyDescent="0.25">
      <c r="A7" s="190" t="s">
        <v>656</v>
      </c>
      <c r="B7" s="556"/>
      <c r="C7" s="1840" t="s">
        <v>2660</v>
      </c>
      <c r="D7" s="1840" t="s">
        <v>2661</v>
      </c>
      <c r="E7" s="1841"/>
      <c r="F7" s="1842">
        <v>2014</v>
      </c>
      <c r="G7" s="2069"/>
      <c r="H7" s="2070"/>
      <c r="I7" s="1842">
        <v>2014</v>
      </c>
      <c r="J7" s="2073"/>
      <c r="K7" s="2074"/>
    </row>
    <row r="8" spans="1:11" ht="11.25" customHeight="1" x14ac:dyDescent="0.25">
      <c r="A8" s="190" t="s">
        <v>409</v>
      </c>
      <c r="B8" s="596" t="s">
        <v>775</v>
      </c>
      <c r="C8" s="1827" t="s">
        <v>425</v>
      </c>
      <c r="D8" s="1827" t="s">
        <v>425</v>
      </c>
      <c r="E8" s="1829"/>
      <c r="F8" s="1843" t="s">
        <v>425</v>
      </c>
      <c r="G8" s="2071"/>
      <c r="H8" s="2072"/>
      <c r="I8" s="1843" t="s">
        <v>425</v>
      </c>
      <c r="J8" s="2073"/>
      <c r="K8" s="2074"/>
    </row>
    <row r="9" spans="1:11" ht="11.25" customHeight="1" x14ac:dyDescent="0.25">
      <c r="A9" s="190" t="s">
        <v>1256</v>
      </c>
      <c r="B9" s="556"/>
      <c r="C9" s="1827" t="s">
        <v>425</v>
      </c>
      <c r="D9" s="1827" t="s">
        <v>425</v>
      </c>
      <c r="E9" s="1829"/>
      <c r="F9" s="1843" t="s">
        <v>425</v>
      </c>
      <c r="G9" s="2055"/>
      <c r="H9" s="2056"/>
      <c r="I9" s="1843" t="s">
        <v>425</v>
      </c>
      <c r="J9" s="2057"/>
      <c r="K9" s="2058"/>
    </row>
    <row r="10" spans="1:11" ht="11.25" customHeight="1" x14ac:dyDescent="0.25">
      <c r="A10" s="190" t="s">
        <v>754</v>
      </c>
      <c r="B10" s="556"/>
      <c r="C10" s="1827" t="s">
        <v>2662</v>
      </c>
      <c r="D10" s="1827" t="s">
        <v>2662</v>
      </c>
      <c r="E10" s="1829"/>
      <c r="F10" s="1843"/>
      <c r="G10" s="1827"/>
      <c r="H10" s="1828"/>
      <c r="I10" s="1843"/>
      <c r="J10" s="1827"/>
      <c r="K10" s="1829"/>
    </row>
    <row r="11" spans="1:11" ht="11.25" customHeight="1" x14ac:dyDescent="0.25">
      <c r="A11" s="190" t="s">
        <v>1257</v>
      </c>
      <c r="B11" s="596">
        <v>3</v>
      </c>
      <c r="C11" s="1830"/>
      <c r="D11" s="1844"/>
      <c r="E11" s="1845"/>
      <c r="F11" s="1846">
        <v>1</v>
      </c>
      <c r="G11" s="1830"/>
      <c r="H11" s="1831"/>
      <c r="I11" s="1846">
        <v>1</v>
      </c>
      <c r="J11" s="1830"/>
      <c r="K11" s="1833"/>
    </row>
    <row r="12" spans="1:11" ht="11.25" customHeight="1" x14ac:dyDescent="0.25">
      <c r="A12" s="325" t="s">
        <v>1258</v>
      </c>
      <c r="B12" s="564">
        <v>3</v>
      </c>
      <c r="C12" s="1834"/>
      <c r="D12" s="1847"/>
      <c r="E12" s="1848"/>
      <c r="F12" s="1846">
        <v>12</v>
      </c>
      <c r="G12" s="1834"/>
      <c r="H12" s="1835"/>
      <c r="I12" s="1846">
        <v>12</v>
      </c>
      <c r="J12" s="1834"/>
      <c r="K12" s="1836"/>
    </row>
    <row r="13" spans="1:11" ht="11.25" customHeight="1" x14ac:dyDescent="0.25">
      <c r="A13" s="325" t="s">
        <v>1259</v>
      </c>
      <c r="B13" s="564">
        <v>3</v>
      </c>
      <c r="C13" s="1834"/>
      <c r="D13" s="1847"/>
      <c r="E13" s="1848"/>
      <c r="F13" s="1846">
        <v>0</v>
      </c>
      <c r="G13" s="1834"/>
      <c r="H13" s="1835"/>
      <c r="I13" s="1846">
        <v>0</v>
      </c>
      <c r="J13" s="1834"/>
      <c r="K13" s="1836"/>
    </row>
    <row r="14" spans="1:11" ht="11.25" customHeight="1" x14ac:dyDescent="0.25">
      <c r="A14" s="325" t="s">
        <v>1260</v>
      </c>
      <c r="B14" s="564">
        <v>3</v>
      </c>
      <c r="C14" s="1834"/>
      <c r="D14" s="1847"/>
      <c r="E14" s="1848"/>
      <c r="F14" s="1846">
        <v>0</v>
      </c>
      <c r="G14" s="1834"/>
      <c r="H14" s="1835"/>
      <c r="I14" s="1846">
        <v>0</v>
      </c>
      <c r="J14" s="1834"/>
      <c r="K14" s="1836"/>
    </row>
    <row r="15" spans="1:11" ht="11.25" customHeight="1" x14ac:dyDescent="0.25">
      <c r="A15" s="325" t="s">
        <v>1573</v>
      </c>
      <c r="B15" s="597">
        <v>4</v>
      </c>
      <c r="C15" s="1834"/>
      <c r="D15" s="1847"/>
      <c r="E15" s="1848"/>
      <c r="F15" s="1846">
        <v>2</v>
      </c>
      <c r="G15" s="1834"/>
      <c r="H15" s="1835"/>
      <c r="I15" s="1846">
        <v>2</v>
      </c>
      <c r="J15" s="1834"/>
      <c r="K15" s="1836"/>
    </row>
    <row r="16" spans="1:11" ht="11.25" customHeight="1" x14ac:dyDescent="0.25">
      <c r="A16" s="190" t="s">
        <v>657</v>
      </c>
      <c r="B16" s="556"/>
      <c r="C16" s="1827" t="s">
        <v>822</v>
      </c>
      <c r="D16" s="1827" t="s">
        <v>822</v>
      </c>
      <c r="E16" s="1829"/>
      <c r="F16" s="1843"/>
      <c r="G16" s="2055"/>
      <c r="H16" s="2056"/>
      <c r="I16" s="1826"/>
      <c r="J16" s="2057"/>
      <c r="K16" s="2058"/>
    </row>
    <row r="17" spans="1:11" ht="11.25" customHeight="1" x14ac:dyDescent="0.25">
      <c r="A17" s="190" t="s">
        <v>407</v>
      </c>
      <c r="B17" s="556"/>
      <c r="C17" s="1834"/>
      <c r="D17" s="1847"/>
      <c r="E17" s="1848"/>
      <c r="F17" s="1846"/>
      <c r="G17" s="2055"/>
      <c r="H17" s="2056"/>
      <c r="I17" s="1832"/>
      <c r="J17" s="2059"/>
      <c r="K17" s="2060"/>
    </row>
    <row r="18" spans="1:11" ht="11.25" customHeight="1" x14ac:dyDescent="0.25">
      <c r="A18" s="190" t="s">
        <v>410</v>
      </c>
      <c r="B18" s="596">
        <v>5</v>
      </c>
      <c r="C18" s="1847">
        <v>70364</v>
      </c>
      <c r="D18" s="1847">
        <v>72783</v>
      </c>
      <c r="E18" s="1848"/>
      <c r="F18" s="1846">
        <v>132698</v>
      </c>
      <c r="G18" s="1847"/>
      <c r="H18" s="1852"/>
      <c r="I18" s="1846">
        <v>132698</v>
      </c>
      <c r="J18" s="1834"/>
      <c r="K18" s="1836"/>
    </row>
    <row r="19" spans="1:11" ht="11.25" customHeight="1" x14ac:dyDescent="0.25">
      <c r="A19" s="190" t="s">
        <v>411</v>
      </c>
      <c r="B19" s="596">
        <v>5</v>
      </c>
      <c r="C19" s="1847">
        <v>0</v>
      </c>
      <c r="D19" s="1847">
        <v>0</v>
      </c>
      <c r="E19" s="1848"/>
      <c r="F19" s="1846"/>
      <c r="G19" s="1847"/>
      <c r="H19" s="1852"/>
      <c r="I19" s="1832"/>
      <c r="J19" s="1834"/>
      <c r="K19" s="1836"/>
    </row>
    <row r="20" spans="1:11" ht="11.25" customHeight="1" x14ac:dyDescent="0.25">
      <c r="A20" s="190" t="s">
        <v>412</v>
      </c>
      <c r="B20" s="596"/>
      <c r="C20" s="1847">
        <v>0</v>
      </c>
      <c r="D20" s="1847">
        <v>0</v>
      </c>
      <c r="E20" s="1848"/>
      <c r="F20" s="1846">
        <v>0</v>
      </c>
      <c r="G20" s="1847"/>
      <c r="H20" s="1852"/>
      <c r="I20" s="1832"/>
      <c r="J20" s="1834"/>
      <c r="K20" s="1836"/>
    </row>
    <row r="21" spans="1:11" ht="11.25" customHeight="1" x14ac:dyDescent="0.25">
      <c r="A21" s="190" t="s">
        <v>744</v>
      </c>
      <c r="B21" s="556"/>
      <c r="C21" s="1834">
        <v>0</v>
      </c>
      <c r="D21" s="1847">
        <v>0</v>
      </c>
      <c r="E21" s="1848"/>
      <c r="F21" s="1846">
        <v>0</v>
      </c>
      <c r="G21" s="1847"/>
      <c r="H21" s="1852"/>
      <c r="I21" s="1832"/>
      <c r="J21" s="1834"/>
      <c r="K21" s="1836"/>
    </row>
    <row r="22" spans="1:11" ht="11.25" customHeight="1" x14ac:dyDescent="0.25">
      <c r="A22" s="190" t="s">
        <v>745</v>
      </c>
      <c r="B22" s="556"/>
      <c r="C22" s="1834">
        <v>0</v>
      </c>
      <c r="D22" s="1847">
        <v>0</v>
      </c>
      <c r="E22" s="1848"/>
      <c r="F22" s="1846">
        <v>0</v>
      </c>
      <c r="G22" s="1834"/>
      <c r="H22" s="1835"/>
      <c r="I22" s="1832"/>
      <c r="J22" s="1834"/>
      <c r="K22" s="1836"/>
    </row>
    <row r="23" spans="1:11" ht="11.25" customHeight="1" x14ac:dyDescent="0.25">
      <c r="A23" s="190" t="s">
        <v>370</v>
      </c>
      <c r="B23" s="556"/>
      <c r="C23" s="1834"/>
      <c r="D23" s="1847"/>
      <c r="E23" s="1848"/>
      <c r="F23" s="1846">
        <v>0</v>
      </c>
      <c r="G23" s="1834"/>
      <c r="H23" s="1835"/>
      <c r="I23" s="1832"/>
      <c r="J23" s="1834"/>
      <c r="K23" s="1836"/>
    </row>
    <row r="24" spans="1:11" ht="11.25" customHeight="1" x14ac:dyDescent="0.25">
      <c r="A24" s="190" t="s">
        <v>371</v>
      </c>
      <c r="B24" s="556"/>
      <c r="C24" s="1834"/>
      <c r="D24" s="1847"/>
      <c r="E24" s="1848"/>
      <c r="F24" s="1846">
        <v>0</v>
      </c>
      <c r="G24" s="1834"/>
      <c r="H24" s="1835"/>
      <c r="I24" s="1832"/>
      <c r="J24" s="1834"/>
      <c r="K24" s="1836"/>
    </row>
    <row r="25" spans="1:11" ht="11.25" customHeight="1" x14ac:dyDescent="0.25">
      <c r="A25" s="190" t="s">
        <v>755</v>
      </c>
      <c r="B25" s="556">
        <v>8</v>
      </c>
      <c r="C25" s="1834"/>
      <c r="D25" s="1847"/>
      <c r="E25" s="1848"/>
      <c r="F25" s="1846">
        <v>0</v>
      </c>
      <c r="G25" s="1834"/>
      <c r="H25" s="1835"/>
      <c r="I25" s="1832"/>
      <c r="J25" s="1834"/>
      <c r="K25" s="1836"/>
    </row>
    <row r="26" spans="1:11" ht="11.25" customHeight="1" x14ac:dyDescent="0.25">
      <c r="A26" s="190" t="s">
        <v>743</v>
      </c>
      <c r="B26" s="556">
        <v>8</v>
      </c>
      <c r="C26" s="1834"/>
      <c r="D26" s="1847"/>
      <c r="E26" s="1848"/>
      <c r="F26" s="1846">
        <v>0</v>
      </c>
      <c r="G26" s="1834"/>
      <c r="H26" s="1835"/>
      <c r="I26" s="1832"/>
      <c r="J26" s="1834"/>
      <c r="K26" s="1836"/>
    </row>
    <row r="27" spans="1:11" ht="11.25" customHeight="1" x14ac:dyDescent="0.25">
      <c r="A27" s="190" t="s">
        <v>1527</v>
      </c>
      <c r="B27" s="556"/>
      <c r="C27" s="1847"/>
      <c r="D27" s="1847"/>
      <c r="E27" s="1848"/>
      <c r="F27" s="1846"/>
      <c r="G27" s="1847"/>
      <c r="H27" s="1852"/>
      <c r="I27" s="1832"/>
      <c r="J27" s="1834"/>
      <c r="K27" s="1836"/>
    </row>
    <row r="28" spans="1:11" ht="11.25" customHeight="1" x14ac:dyDescent="0.25">
      <c r="A28" s="190" t="s">
        <v>520</v>
      </c>
      <c r="B28" s="596">
        <v>5</v>
      </c>
      <c r="C28" s="1849"/>
      <c r="D28" s="1849"/>
      <c r="E28" s="1850"/>
      <c r="F28" s="1851"/>
      <c r="G28" s="1849"/>
      <c r="H28" s="1853"/>
      <c r="I28" s="1854"/>
      <c r="J28" s="1855"/>
      <c r="K28" s="1856"/>
    </row>
    <row r="29" spans="1:11" ht="11.25" customHeight="1" x14ac:dyDescent="0.25">
      <c r="A29" s="190" t="s">
        <v>1390</v>
      </c>
      <c r="B29" s="596"/>
      <c r="C29" s="1849"/>
      <c r="D29" s="1849"/>
      <c r="E29" s="1850"/>
      <c r="F29" s="1851"/>
      <c r="G29" s="1849"/>
      <c r="H29" s="1853"/>
      <c r="I29" s="1854"/>
      <c r="J29" s="1855"/>
      <c r="K29" s="1856"/>
    </row>
    <row r="30" spans="1:11" ht="11.25" customHeight="1" x14ac:dyDescent="0.25">
      <c r="A30" s="181" t="s">
        <v>1528</v>
      </c>
      <c r="B30" s="596"/>
      <c r="C30" s="598"/>
      <c r="D30" s="598"/>
      <c r="E30" s="599"/>
      <c r="F30" s="600"/>
      <c r="G30" s="598"/>
      <c r="H30" s="601"/>
      <c r="I30" s="602"/>
      <c r="J30" s="516"/>
      <c r="K30" s="208"/>
    </row>
    <row r="31" spans="1:11" ht="11.25" customHeight="1" x14ac:dyDescent="0.25">
      <c r="A31" s="190" t="s">
        <v>521</v>
      </c>
      <c r="B31" s="596"/>
      <c r="C31" s="1849"/>
      <c r="D31" s="1849"/>
      <c r="E31" s="1850"/>
      <c r="F31" s="1851"/>
      <c r="G31" s="1849"/>
      <c r="H31" s="1853"/>
      <c r="I31" s="1854"/>
      <c r="J31" s="1855"/>
      <c r="K31" s="1856"/>
    </row>
    <row r="32" spans="1:11" ht="11.25" customHeight="1" x14ac:dyDescent="0.25">
      <c r="A32" s="190" t="s">
        <v>522</v>
      </c>
      <c r="B32" s="596"/>
      <c r="C32" s="1849"/>
      <c r="D32" s="1849"/>
      <c r="E32" s="1850"/>
      <c r="F32" s="1851"/>
      <c r="G32" s="1849"/>
      <c r="H32" s="1853"/>
      <c r="I32" s="1854"/>
      <c r="J32" s="1855"/>
      <c r="K32" s="1856"/>
    </row>
    <row r="33" spans="1:11" ht="11.25" customHeight="1" x14ac:dyDescent="0.25">
      <c r="A33" s="190" t="s">
        <v>523</v>
      </c>
      <c r="B33" s="596"/>
      <c r="C33" s="1849"/>
      <c r="D33" s="1849"/>
      <c r="E33" s="1850"/>
      <c r="F33" s="1851"/>
      <c r="G33" s="1849"/>
      <c r="H33" s="1853"/>
      <c r="I33" s="1854"/>
      <c r="J33" s="1855"/>
      <c r="K33" s="1856"/>
    </row>
    <row r="34" spans="1:11" ht="11.25" customHeight="1" x14ac:dyDescent="0.25">
      <c r="A34" s="190" t="s">
        <v>524</v>
      </c>
      <c r="B34" s="596"/>
      <c r="C34" s="1849"/>
      <c r="D34" s="1849"/>
      <c r="E34" s="1850"/>
      <c r="F34" s="1851"/>
      <c r="G34" s="1849"/>
      <c r="H34" s="1853"/>
      <c r="I34" s="1854"/>
      <c r="J34" s="1855"/>
      <c r="K34" s="1856"/>
    </row>
    <row r="35" spans="1:11" ht="11.25" customHeight="1" x14ac:dyDescent="0.25">
      <c r="A35" s="190" t="s">
        <v>525</v>
      </c>
      <c r="B35" s="596"/>
      <c r="C35" s="1849"/>
      <c r="D35" s="1849"/>
      <c r="E35" s="1850"/>
      <c r="F35" s="1851"/>
      <c r="G35" s="1849"/>
      <c r="H35" s="1853"/>
      <c r="I35" s="1854"/>
      <c r="J35" s="1855"/>
      <c r="K35" s="1856"/>
    </row>
    <row r="36" spans="1:11" ht="11.25" customHeight="1" x14ac:dyDescent="0.25">
      <c r="A36" s="190" t="s">
        <v>526</v>
      </c>
      <c r="B36" s="596"/>
      <c r="C36" s="1849"/>
      <c r="D36" s="1849"/>
      <c r="E36" s="1850"/>
      <c r="F36" s="1851"/>
      <c r="G36" s="1849"/>
      <c r="H36" s="1853"/>
      <c r="I36" s="1854"/>
      <c r="J36" s="1855"/>
      <c r="K36" s="1856"/>
    </row>
    <row r="37" spans="1:11" ht="11.25" customHeight="1" x14ac:dyDescent="0.25">
      <c r="A37" s="326" t="s">
        <v>1529</v>
      </c>
      <c r="B37" s="596"/>
      <c r="C37" s="603">
        <f>SUM(C31:C36)</f>
        <v>0</v>
      </c>
      <c r="D37" s="603">
        <f t="shared" ref="D37:K37" si="0">SUM(D31:D36)</f>
        <v>0</v>
      </c>
      <c r="E37" s="604">
        <f t="shared" si="0"/>
        <v>0</v>
      </c>
      <c r="F37" s="605">
        <f t="shared" si="0"/>
        <v>0</v>
      </c>
      <c r="G37" s="603">
        <f t="shared" si="0"/>
        <v>0</v>
      </c>
      <c r="H37" s="606">
        <f t="shared" si="0"/>
        <v>0</v>
      </c>
      <c r="I37" s="607">
        <f t="shared" si="0"/>
        <v>0</v>
      </c>
      <c r="J37" s="608">
        <f t="shared" si="0"/>
        <v>0</v>
      </c>
      <c r="K37" s="609">
        <f t="shared" si="0"/>
        <v>0</v>
      </c>
    </row>
    <row r="38" spans="1:11" ht="15.75" customHeight="1" x14ac:dyDescent="0.25">
      <c r="A38" s="190" t="s">
        <v>1443</v>
      </c>
      <c r="B38" s="596">
        <v>5</v>
      </c>
      <c r="C38" s="1855"/>
      <c r="D38" s="1855"/>
      <c r="E38" s="1856"/>
      <c r="F38" s="1857"/>
      <c r="G38" s="1855"/>
      <c r="H38" s="1858"/>
      <c r="I38" s="1859"/>
      <c r="J38" s="1855"/>
      <c r="K38" s="1856"/>
    </row>
    <row r="39" spans="1:11" ht="11.25" customHeight="1" x14ac:dyDescent="0.25">
      <c r="A39" s="190" t="s">
        <v>1444</v>
      </c>
      <c r="B39" s="596">
        <v>5</v>
      </c>
      <c r="C39" s="1855"/>
      <c r="D39" s="1855"/>
      <c r="E39" s="1856"/>
      <c r="F39" s="1857"/>
      <c r="G39" s="1855"/>
      <c r="H39" s="1858"/>
      <c r="I39" s="1859"/>
      <c r="J39" s="1860"/>
      <c r="K39" s="1861"/>
    </row>
    <row r="40" spans="1:11" ht="11.25" customHeight="1" x14ac:dyDescent="0.25">
      <c r="A40" s="325" t="s">
        <v>1445</v>
      </c>
      <c r="B40" s="596">
        <v>5</v>
      </c>
      <c r="C40" s="1855"/>
      <c r="D40" s="1855"/>
      <c r="E40" s="1856"/>
      <c r="F40" s="1857"/>
      <c r="G40" s="1855"/>
      <c r="H40" s="1858"/>
      <c r="I40" s="1859"/>
      <c r="J40" s="1855"/>
      <c r="K40" s="1856"/>
    </row>
    <row r="41" spans="1:11" ht="11.25" customHeight="1" x14ac:dyDescent="0.25">
      <c r="A41" s="325" t="s">
        <v>1446</v>
      </c>
      <c r="B41" s="596">
        <v>5</v>
      </c>
      <c r="C41" s="1855"/>
      <c r="D41" s="1849"/>
      <c r="E41" s="1850"/>
      <c r="F41" s="1851"/>
      <c r="G41" s="1849"/>
      <c r="H41" s="1853"/>
      <c r="I41" s="1854"/>
      <c r="J41" s="1855"/>
      <c r="K41" s="1856"/>
    </row>
    <row r="42" spans="1:11" ht="5.0999999999999996" customHeight="1" x14ac:dyDescent="0.25">
      <c r="A42" s="404"/>
      <c r="B42" s="596"/>
      <c r="C42" s="1671"/>
      <c r="D42" s="1862"/>
      <c r="E42" s="1863"/>
      <c r="F42" s="1864"/>
      <c r="G42" s="1862"/>
      <c r="H42" s="1865"/>
      <c r="I42" s="1866"/>
      <c r="J42" s="1671"/>
      <c r="K42" s="1672"/>
    </row>
    <row r="43" spans="1:11" ht="11.25" customHeight="1" x14ac:dyDescent="0.25">
      <c r="A43" s="613" t="s">
        <v>1530</v>
      </c>
      <c r="B43" s="614"/>
      <c r="C43" s="615"/>
      <c r="D43" s="615"/>
      <c r="E43" s="616"/>
      <c r="F43" s="617"/>
      <c r="G43" s="615"/>
      <c r="H43" s="618"/>
      <c r="I43" s="619"/>
      <c r="J43" s="615"/>
      <c r="K43" s="616"/>
    </row>
    <row r="44" spans="1:11" ht="26.25" customHeight="1" x14ac:dyDescent="0.25">
      <c r="A44" s="476" t="s">
        <v>1442</v>
      </c>
      <c r="B44" s="556"/>
      <c r="C44" s="1827"/>
      <c r="D44" s="1827"/>
      <c r="E44" s="1868"/>
      <c r="F44" s="1869" t="s">
        <v>425</v>
      </c>
      <c r="G44" s="2075"/>
      <c r="H44" s="2076"/>
      <c r="I44" s="1867" t="s">
        <v>425</v>
      </c>
      <c r="J44" s="2075"/>
      <c r="K44" s="2079"/>
    </row>
    <row r="45" spans="1:11" ht="11.25" customHeight="1" x14ac:dyDescent="0.25">
      <c r="A45" s="190" t="s">
        <v>749</v>
      </c>
      <c r="B45" s="556">
        <v>5</v>
      </c>
      <c r="C45" s="1827"/>
      <c r="D45" s="1827"/>
      <c r="E45" s="1829"/>
      <c r="F45" s="1843"/>
      <c r="G45" s="2077"/>
      <c r="H45" s="2078"/>
      <c r="I45" s="1826"/>
      <c r="J45" s="2077"/>
      <c r="K45" s="2080"/>
    </row>
    <row r="46" spans="1:11" ht="11.25" customHeight="1" x14ac:dyDescent="0.25">
      <c r="A46" s="190" t="s">
        <v>750</v>
      </c>
      <c r="B46" s="556"/>
      <c r="C46" s="1827"/>
      <c r="D46" s="1827"/>
      <c r="E46" s="1829"/>
      <c r="F46" s="1843"/>
      <c r="G46" s="1827"/>
      <c r="H46" s="1828"/>
      <c r="I46" s="1826"/>
      <c r="J46" s="1827"/>
      <c r="K46" s="1829"/>
    </row>
    <row r="47" spans="1:11" ht="11.25" customHeight="1" x14ac:dyDescent="0.25">
      <c r="A47" s="190" t="s">
        <v>751</v>
      </c>
      <c r="B47" s="556"/>
      <c r="C47" s="1827"/>
      <c r="D47" s="1827"/>
      <c r="E47" s="1829"/>
      <c r="F47" s="1843"/>
      <c r="G47" s="2077"/>
      <c r="H47" s="2078"/>
      <c r="I47" s="1826"/>
      <c r="J47" s="2077"/>
      <c r="K47" s="2080"/>
    </row>
    <row r="48" spans="1:11" ht="11.25" customHeight="1" x14ac:dyDescent="0.25">
      <c r="A48" s="190" t="s">
        <v>164</v>
      </c>
      <c r="B48" s="556"/>
      <c r="C48" s="1827"/>
      <c r="D48" s="1827"/>
      <c r="E48" s="1829"/>
      <c r="F48" s="1843"/>
      <c r="G48" s="1827"/>
      <c r="H48" s="1828"/>
      <c r="I48" s="1826"/>
      <c r="J48" s="1827"/>
      <c r="K48" s="1829"/>
    </row>
    <row r="49" spans="1:12" ht="11.25" customHeight="1" x14ac:dyDescent="0.25">
      <c r="A49" s="190" t="s">
        <v>408</v>
      </c>
      <c r="B49" s="556"/>
      <c r="C49" s="1827"/>
      <c r="D49" s="1827"/>
      <c r="E49" s="1829"/>
      <c r="F49" s="1843" t="s">
        <v>425</v>
      </c>
      <c r="G49" s="2077"/>
      <c r="H49" s="2078"/>
      <c r="I49" s="1826" t="s">
        <v>425</v>
      </c>
      <c r="J49" s="2077"/>
      <c r="K49" s="2080"/>
    </row>
    <row r="50" spans="1:12" ht="11.25" customHeight="1" x14ac:dyDescent="0.25">
      <c r="A50" s="190" t="s">
        <v>416</v>
      </c>
      <c r="B50" s="556"/>
      <c r="C50" s="1606"/>
      <c r="D50" s="1606"/>
      <c r="E50" s="1628"/>
      <c r="F50" s="1629"/>
      <c r="G50" s="2077"/>
      <c r="H50" s="2078"/>
      <c r="I50" s="1630"/>
      <c r="J50" s="2077"/>
      <c r="K50" s="2080"/>
    </row>
    <row r="51" spans="1:12" ht="11.25" customHeight="1" x14ac:dyDescent="0.25">
      <c r="A51" s="190" t="s">
        <v>527</v>
      </c>
      <c r="B51" s="556"/>
      <c r="C51" s="1870"/>
      <c r="D51" s="1870"/>
      <c r="E51" s="1871"/>
      <c r="F51" s="1872"/>
      <c r="G51" s="2077"/>
      <c r="H51" s="2078"/>
      <c r="I51" s="1873"/>
      <c r="J51" s="2077"/>
      <c r="K51" s="2080"/>
    </row>
    <row r="52" spans="1:12" ht="5.0999999999999996" customHeight="1" x14ac:dyDescent="0.25">
      <c r="A52" s="201"/>
      <c r="B52" s="556"/>
      <c r="C52" s="516"/>
      <c r="D52" s="516"/>
      <c r="E52" s="208"/>
      <c r="F52" s="515"/>
      <c r="G52" s="2077"/>
      <c r="H52" s="2078"/>
      <c r="I52" s="1674"/>
      <c r="J52" s="2077"/>
      <c r="K52" s="2080"/>
    </row>
    <row r="53" spans="1:12" ht="11.25" customHeight="1" x14ac:dyDescent="0.25">
      <c r="A53" s="181" t="s">
        <v>660</v>
      </c>
      <c r="B53" s="556"/>
      <c r="C53" s="516"/>
      <c r="D53" s="516"/>
      <c r="E53" s="208"/>
      <c r="F53" s="515"/>
      <c r="G53" s="2077"/>
      <c r="H53" s="2078"/>
      <c r="I53" s="363"/>
      <c r="J53" s="2077"/>
      <c r="K53" s="2080"/>
    </row>
    <row r="54" spans="1:12" ht="11.25" customHeight="1" x14ac:dyDescent="0.25">
      <c r="A54" s="325" t="s">
        <v>1447</v>
      </c>
      <c r="B54" s="596">
        <v>6</v>
      </c>
      <c r="C54" s="1606">
        <v>246</v>
      </c>
      <c r="D54" s="1606">
        <v>6300</v>
      </c>
      <c r="E54" s="1628"/>
      <c r="F54" s="1629"/>
      <c r="G54" s="1606"/>
      <c r="H54" s="1609"/>
      <c r="I54" s="1630"/>
      <c r="J54" s="1606"/>
      <c r="K54" s="1628"/>
      <c r="L54" s="369"/>
    </row>
    <row r="55" spans="1:12" ht="11.25" customHeight="1" x14ac:dyDescent="0.25">
      <c r="A55" s="325" t="s">
        <v>1448</v>
      </c>
      <c r="B55" s="596">
        <v>6</v>
      </c>
      <c r="C55" s="1606">
        <v>246</v>
      </c>
      <c r="D55" s="1606">
        <v>6300</v>
      </c>
      <c r="E55" s="1628"/>
      <c r="F55" s="1629"/>
      <c r="G55" s="1606"/>
      <c r="H55" s="1609"/>
      <c r="I55" s="1630"/>
      <c r="J55" s="1606"/>
      <c r="K55" s="1628"/>
      <c r="L55" s="369"/>
    </row>
    <row r="56" spans="1:12" ht="11.25" customHeight="1" x14ac:dyDescent="0.25">
      <c r="A56" s="190" t="s">
        <v>1569</v>
      </c>
      <c r="B56" s="596"/>
      <c r="C56" s="1874">
        <v>0.04</v>
      </c>
      <c r="D56" s="1874">
        <v>0.05</v>
      </c>
      <c r="E56" s="1875"/>
      <c r="F56" s="1876">
        <v>1</v>
      </c>
      <c r="G56" s="1874">
        <v>0.08</v>
      </c>
      <c r="H56" s="1877"/>
      <c r="I56" s="1878">
        <v>0.1</v>
      </c>
      <c r="J56" s="1870"/>
      <c r="K56" s="1871"/>
    </row>
    <row r="57" spans="1:12" ht="11.25" customHeight="1" x14ac:dyDescent="0.25">
      <c r="A57" s="190" t="s">
        <v>1487</v>
      </c>
      <c r="B57" s="596">
        <v>7</v>
      </c>
      <c r="C57" s="1879"/>
      <c r="D57" s="1879"/>
      <c r="E57" s="1880"/>
      <c r="F57" s="1881"/>
      <c r="G57" s="1879"/>
      <c r="H57" s="1882"/>
      <c r="I57" s="1883"/>
      <c r="J57" s="1606"/>
      <c r="K57" s="1628"/>
    </row>
    <row r="58" spans="1:12" ht="15.75" customHeight="1" x14ac:dyDescent="0.25">
      <c r="A58" s="190" t="s">
        <v>417</v>
      </c>
      <c r="B58" s="596"/>
      <c r="C58" s="1884"/>
      <c r="D58" s="1884"/>
      <c r="E58" s="1885"/>
      <c r="F58" s="1886"/>
      <c r="G58" s="1884"/>
      <c r="H58" s="1887"/>
      <c r="I58" s="1888"/>
      <c r="J58" s="1611"/>
      <c r="K58" s="1889"/>
    </row>
    <row r="59" spans="1:12" ht="11.25" customHeight="1" x14ac:dyDescent="0.25">
      <c r="A59" s="190" t="s">
        <v>517</v>
      </c>
      <c r="B59" s="596"/>
      <c r="C59" s="1879"/>
      <c r="D59" s="1879"/>
      <c r="E59" s="1880"/>
      <c r="F59" s="1881"/>
      <c r="G59" s="1879"/>
      <c r="H59" s="1882"/>
      <c r="I59" s="1883"/>
      <c r="J59" s="1606"/>
      <c r="K59" s="1628"/>
    </row>
    <row r="60" spans="1:12" ht="11.25" customHeight="1" x14ac:dyDescent="0.25">
      <c r="A60" s="190" t="s">
        <v>518</v>
      </c>
      <c r="B60" s="596"/>
      <c r="C60" s="1879"/>
      <c r="D60" s="1879"/>
      <c r="E60" s="1880"/>
      <c r="F60" s="1881"/>
      <c r="G60" s="1879"/>
      <c r="H60" s="1882"/>
      <c r="I60" s="1883"/>
      <c r="J60" s="1606"/>
      <c r="K60" s="1628"/>
    </row>
    <row r="61" spans="1:12" ht="11.25" customHeight="1" x14ac:dyDescent="0.25">
      <c r="A61" s="190" t="s">
        <v>519</v>
      </c>
      <c r="B61" s="596"/>
      <c r="C61" s="1879"/>
      <c r="D61" s="1879"/>
      <c r="E61" s="1880"/>
      <c r="F61" s="1881"/>
      <c r="G61" s="1879"/>
      <c r="H61" s="1882"/>
      <c r="I61" s="1883"/>
      <c r="J61" s="1606"/>
      <c r="K61" s="1628"/>
    </row>
    <row r="62" spans="1:12" ht="11.25" customHeight="1" x14ac:dyDescent="0.25">
      <c r="A62" s="190" t="s">
        <v>1486</v>
      </c>
      <c r="B62" s="596"/>
      <c r="C62" s="1890"/>
      <c r="D62" s="1890"/>
      <c r="E62" s="1891"/>
      <c r="F62" s="1892"/>
      <c r="G62" s="1890"/>
      <c r="H62" s="1893"/>
      <c r="I62" s="1894"/>
      <c r="J62" s="1651"/>
      <c r="K62" s="1652"/>
    </row>
    <row r="63" spans="1:12" ht="11.25" customHeight="1" x14ac:dyDescent="0.25">
      <c r="A63" s="326" t="s">
        <v>658</v>
      </c>
      <c r="B63" s="596"/>
      <c r="C63" s="393">
        <f>SUM(C58:C62)</f>
        <v>0</v>
      </c>
      <c r="D63" s="393">
        <f t="shared" ref="D63:K63" si="1">SUM(D58:D62)</f>
        <v>0</v>
      </c>
      <c r="E63" s="345">
        <f t="shared" si="1"/>
        <v>0</v>
      </c>
      <c r="F63" s="394">
        <f t="shared" si="1"/>
        <v>0</v>
      </c>
      <c r="G63" s="393">
        <f t="shared" si="1"/>
        <v>0</v>
      </c>
      <c r="H63" s="623">
        <f t="shared" si="1"/>
        <v>0</v>
      </c>
      <c r="I63" s="395">
        <f t="shared" si="1"/>
        <v>0</v>
      </c>
      <c r="J63" s="393">
        <f t="shared" si="1"/>
        <v>0</v>
      </c>
      <c r="K63" s="345">
        <f t="shared" si="1"/>
        <v>0</v>
      </c>
    </row>
    <row r="64" spans="1:12" ht="5.0999999999999996" customHeight="1" x14ac:dyDescent="0.25">
      <c r="A64" s="336"/>
      <c r="B64" s="624"/>
      <c r="C64" s="625"/>
      <c r="D64" s="625"/>
      <c r="E64" s="626"/>
      <c r="F64" s="627"/>
      <c r="G64" s="628"/>
      <c r="H64" s="629"/>
      <c r="I64" s="630"/>
      <c r="J64" s="625"/>
      <c r="K64" s="626"/>
    </row>
    <row r="65" spans="1:11" s="708" customFormat="1" x14ac:dyDescent="0.25">
      <c r="A65" s="1228" t="str">
        <f>head27a</f>
        <v>References</v>
      </c>
      <c r="B65" s="1033"/>
      <c r="C65" s="1037"/>
      <c r="D65" s="1037"/>
      <c r="E65" s="1037"/>
      <c r="F65" s="1037"/>
      <c r="G65" s="1037"/>
      <c r="H65" s="1037"/>
      <c r="I65" s="1037"/>
      <c r="J65" s="1037"/>
      <c r="K65" s="1037"/>
    </row>
    <row r="66" spans="1:11" s="708" customFormat="1" x14ac:dyDescent="0.25">
      <c r="A66" s="1193" t="s">
        <v>1568</v>
      </c>
      <c r="B66" s="1057"/>
      <c r="C66" s="1057"/>
      <c r="D66" s="1057"/>
      <c r="E66" s="1057"/>
      <c r="F66" s="1057"/>
      <c r="G66" s="1057"/>
      <c r="H66" s="1057"/>
      <c r="I66" s="1057"/>
      <c r="J66" s="1057"/>
      <c r="K66" s="1057"/>
    </row>
    <row r="67" spans="1:11" s="708" customFormat="1" x14ac:dyDescent="0.25">
      <c r="A67" s="1190" t="s">
        <v>1570</v>
      </c>
      <c r="B67" s="1057"/>
      <c r="C67" s="1057"/>
      <c r="D67" s="1057"/>
      <c r="E67" s="1057"/>
      <c r="F67" s="1057"/>
      <c r="G67" s="1057"/>
      <c r="H67" s="1057"/>
      <c r="I67" s="1057"/>
      <c r="J67" s="1057"/>
      <c r="K67" s="1057"/>
    </row>
    <row r="68" spans="1:11" s="708" customFormat="1" x14ac:dyDescent="0.25">
      <c r="A68" s="1190" t="s">
        <v>1571</v>
      </c>
      <c r="B68" s="1057"/>
      <c r="C68" s="1057"/>
      <c r="D68" s="1057"/>
      <c r="E68" s="1058"/>
      <c r="F68" s="1058"/>
      <c r="G68" s="1057"/>
      <c r="H68" s="1057"/>
      <c r="I68" s="1057"/>
      <c r="J68" s="1057"/>
      <c r="K68" s="1057"/>
    </row>
    <row r="69" spans="1:11" s="708" customFormat="1" x14ac:dyDescent="0.25">
      <c r="A69" s="1190" t="s">
        <v>1572</v>
      </c>
      <c r="B69" s="1057"/>
      <c r="C69" s="1057"/>
      <c r="D69" s="1057"/>
      <c r="E69" s="1058"/>
      <c r="F69" s="1058"/>
      <c r="G69" s="1057"/>
      <c r="H69" s="1057"/>
      <c r="I69" s="1057"/>
      <c r="J69" s="1057"/>
      <c r="K69" s="1057"/>
    </row>
    <row r="70" spans="1:11" s="708" customFormat="1" x14ac:dyDescent="0.25">
      <c r="A70" s="1193" t="s">
        <v>1592</v>
      </c>
      <c r="B70" s="1057"/>
      <c r="C70" s="1057"/>
      <c r="D70" s="1057"/>
      <c r="E70" s="1058"/>
      <c r="F70" s="1058"/>
      <c r="G70" s="1057"/>
      <c r="H70" s="1057"/>
      <c r="I70" s="1057"/>
      <c r="J70" s="1057"/>
      <c r="K70" s="1057"/>
    </row>
    <row r="71" spans="1:11" s="708" customFormat="1" x14ac:dyDescent="0.25">
      <c r="A71" s="1193" t="str">
        <f>"6. Current and budget year must reconcile to "&amp;'Template names'!F103</f>
        <v>6. Current and budget year must reconcile to Table A4 Budgeted Financial Performance (revenue and expenditure)</v>
      </c>
      <c r="B71" s="1057"/>
      <c r="C71" s="1057"/>
      <c r="D71" s="1057"/>
      <c r="E71" s="1058"/>
      <c r="F71" s="1058"/>
      <c r="G71" s="1057"/>
      <c r="H71" s="1057"/>
      <c r="I71" s="1057"/>
      <c r="J71" s="1057"/>
      <c r="K71" s="1057"/>
    </row>
    <row r="72" spans="1:11" s="708" customFormat="1" x14ac:dyDescent="0.25">
      <c r="A72" s="1193" t="s">
        <v>659</v>
      </c>
      <c r="B72" s="1057"/>
      <c r="C72" s="1057"/>
      <c r="D72" s="1057"/>
      <c r="E72" s="1058"/>
      <c r="F72" s="1058"/>
      <c r="G72" s="1057"/>
      <c r="H72" s="1057"/>
      <c r="I72" s="1057"/>
      <c r="J72" s="1057"/>
      <c r="K72" s="1057"/>
    </row>
    <row r="73" spans="1:11" x14ac:dyDescent="0.25">
      <c r="A73" s="1193" t="s">
        <v>1590</v>
      </c>
      <c r="B73" s="246"/>
      <c r="C73" s="246"/>
      <c r="D73" s="246"/>
      <c r="E73" s="360"/>
      <c r="F73" s="360"/>
      <c r="G73" s="246"/>
      <c r="H73" s="246"/>
      <c r="I73" s="246"/>
      <c r="J73" s="246"/>
      <c r="K73" s="246"/>
    </row>
    <row r="74" spans="1:11" x14ac:dyDescent="0.25">
      <c r="A74" s="246"/>
      <c r="B74" s="246"/>
      <c r="C74" s="246"/>
      <c r="D74" s="246"/>
      <c r="E74" s="360"/>
      <c r="F74" s="360"/>
      <c r="G74" s="246"/>
      <c r="H74" s="246"/>
      <c r="I74" s="246"/>
      <c r="J74" s="246"/>
      <c r="K74" s="246"/>
    </row>
    <row r="75" spans="1:11" x14ac:dyDescent="0.25">
      <c r="A75" s="246"/>
      <c r="B75" s="236"/>
      <c r="C75" s="240"/>
      <c r="D75" s="240"/>
      <c r="E75" s="241"/>
      <c r="F75" s="241"/>
      <c r="G75" s="241"/>
      <c r="H75" s="241"/>
      <c r="I75" s="241"/>
      <c r="J75" s="241"/>
      <c r="K75" s="241"/>
    </row>
    <row r="76" spans="1:11" x14ac:dyDescent="0.25">
      <c r="A76" s="246"/>
      <c r="B76" s="236"/>
      <c r="C76" s="240"/>
      <c r="D76" s="240"/>
      <c r="E76" s="241"/>
      <c r="F76" s="241"/>
      <c r="G76" s="241"/>
      <c r="H76" s="241"/>
      <c r="I76" s="241"/>
      <c r="J76" s="241"/>
      <c r="K76" s="241"/>
    </row>
    <row r="77" spans="1:11" x14ac:dyDescent="0.25">
      <c r="A77" s="246"/>
      <c r="B77" s="236"/>
      <c r="C77" s="240"/>
      <c r="D77" s="240"/>
      <c r="E77" s="241"/>
      <c r="F77" s="241"/>
      <c r="G77" s="241"/>
      <c r="H77" s="241"/>
      <c r="I77" s="241"/>
      <c r="J77" s="241"/>
      <c r="K77" s="241"/>
    </row>
    <row r="78" spans="1:11" x14ac:dyDescent="0.25">
      <c r="A78" s="246"/>
      <c r="B78" s="236"/>
      <c r="C78" s="240"/>
      <c r="D78" s="240"/>
      <c r="E78" s="241"/>
      <c r="F78" s="241"/>
      <c r="G78" s="241"/>
      <c r="H78" s="241"/>
      <c r="I78" s="241"/>
      <c r="J78" s="241"/>
      <c r="K78" s="241"/>
    </row>
    <row r="79" spans="1:11" ht="11.25" customHeight="1" x14ac:dyDescent="0.25">
      <c r="A79" s="246"/>
      <c r="B79" s="236"/>
      <c r="C79" s="246"/>
      <c r="D79" s="246"/>
      <c r="E79" s="246"/>
      <c r="F79" s="246"/>
      <c r="G79" s="246"/>
    </row>
    <row r="80" spans="1:11" ht="11.25" customHeight="1" x14ac:dyDescent="0.25">
      <c r="A80" s="246"/>
      <c r="B80" s="246"/>
      <c r="C80" s="246"/>
      <c r="D80" s="246"/>
      <c r="E80" s="246"/>
      <c r="F80" s="246"/>
      <c r="G80" s="246"/>
    </row>
    <row r="81" spans="1:7" ht="11.25" customHeight="1" x14ac:dyDescent="0.25">
      <c r="A81" s="246"/>
      <c r="B81" s="246"/>
      <c r="C81" s="246"/>
      <c r="D81" s="246"/>
      <c r="E81" s="246"/>
      <c r="F81" s="246"/>
      <c r="G81" s="246"/>
    </row>
    <row r="82" spans="1:7" ht="11.25" customHeight="1" x14ac:dyDescent="0.25">
      <c r="A82" s="246"/>
      <c r="B82" s="246"/>
      <c r="C82" s="246"/>
      <c r="D82" s="246"/>
      <c r="E82" s="246"/>
      <c r="F82" s="246"/>
      <c r="G82" s="246"/>
    </row>
    <row r="83" spans="1:7" ht="11.25" customHeight="1" x14ac:dyDescent="0.25">
      <c r="A83" s="246"/>
      <c r="B83" s="236"/>
      <c r="C83" s="246"/>
      <c r="D83" s="246"/>
      <c r="E83" s="246"/>
      <c r="F83" s="246"/>
      <c r="G83" s="246"/>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customSheetViews>
    <customSheetView guid="{F50C5479-5CC4-4FD7-8319-543D29E829F0}" showGridLines="0" fitToPage="1">
      <pane xSplit="2" ySplit="4" topLeftCell="C47" activePane="bottomRight" state="frozen"/>
      <selection pane="bottomRight" activeCell="G57" sqref="G57"/>
      <pageMargins left="0.37" right="0.2" top="0.6" bottom="0.5" header="0.5" footer="0.5"/>
      <pageSetup paperSize="9" scale="85" orientation="portrait" blackAndWhite="1" r:id="rId1"/>
      <headerFooter alignWithMargins="0"/>
    </customSheetView>
  </customSheetViews>
  <mergeCells count="4">
    <mergeCell ref="F2:H2"/>
    <mergeCell ref="I2:K2"/>
    <mergeCell ref="B2:B4"/>
    <mergeCell ref="A2:A3"/>
  </mergeCells>
  <phoneticPr fontId="2"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37" right="0.2" top="0.6" bottom="0.5" header="0.5" footer="0.5"/>
  <pageSetup paperSize="9" scale="85" orientation="portrait" blackAndWhite="1"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2"/>
  </sheetPr>
  <dimension ref="A1:S146"/>
  <sheetViews>
    <sheetView showGridLines="0" zoomScaleNormal="100" workbookViewId="0">
      <pane xSplit="2" ySplit="2" topLeftCell="C3" activePane="bottomRight" state="frozen"/>
      <selection activeCell="F35" sqref="F35"/>
      <selection pane="topRight" activeCell="F35" sqref="F35"/>
      <selection pane="bottomLeft" activeCell="F35" sqref="F35"/>
      <selection pane="bottomRight" activeCell="E9" sqref="E9"/>
    </sheetView>
  </sheetViews>
  <sheetFormatPr defaultRowHeight="12.75" x14ac:dyDescent="0.25"/>
  <cols>
    <col min="1" max="1" width="30.7109375" style="149" customWidth="1"/>
    <col min="2" max="2" width="3" style="653"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"&amp;TableA12a</f>
        <v>MP315 Thembisile Hani - Supporting Table SA12a Property rates by category (current year)</v>
      </c>
      <c r="B1" s="632"/>
      <c r="C1" s="147"/>
      <c r="D1" s="147"/>
      <c r="E1" s="147"/>
      <c r="F1" s="147"/>
      <c r="G1" s="147"/>
      <c r="H1" s="147"/>
      <c r="I1" s="147"/>
      <c r="J1" s="147"/>
      <c r="K1" s="147"/>
      <c r="L1" s="147"/>
      <c r="M1" s="147"/>
      <c r="N1" s="147"/>
      <c r="O1" s="147"/>
      <c r="P1" s="147"/>
      <c r="Q1" s="147"/>
      <c r="R1" s="147"/>
    </row>
    <row r="2" spans="1:18" ht="38.25" x14ac:dyDescent="0.25">
      <c r="A2" s="633" t="str">
        <f>desc</f>
        <v>Description</v>
      </c>
      <c r="B2" s="634" t="str">
        <f>head27</f>
        <v>Ref</v>
      </c>
      <c r="C2" s="518" t="s">
        <v>1066</v>
      </c>
      <c r="D2" s="518" t="s">
        <v>1067</v>
      </c>
      <c r="E2" s="518" t="s">
        <v>1068</v>
      </c>
      <c r="F2" s="518" t="s">
        <v>1069</v>
      </c>
      <c r="G2" s="518" t="s">
        <v>1449</v>
      </c>
      <c r="H2" s="518" t="s">
        <v>1531</v>
      </c>
      <c r="I2" s="518" t="s">
        <v>1450</v>
      </c>
      <c r="J2" s="518" t="s">
        <v>1070</v>
      </c>
      <c r="K2" s="518" t="s">
        <v>413</v>
      </c>
      <c r="L2" s="518" t="s">
        <v>1071</v>
      </c>
      <c r="M2" s="518" t="s">
        <v>414</v>
      </c>
      <c r="N2" s="518" t="s">
        <v>1532</v>
      </c>
      <c r="O2" s="518" t="s">
        <v>1072</v>
      </c>
      <c r="P2" s="518" t="s">
        <v>415</v>
      </c>
      <c r="Q2" s="518" t="s">
        <v>1533</v>
      </c>
      <c r="R2" s="635" t="s">
        <v>1534</v>
      </c>
    </row>
    <row r="3" spans="1:18" ht="11.25" customHeight="1" x14ac:dyDescent="0.25">
      <c r="A3" s="249" t="str">
        <f>Head2</f>
        <v>Current Year 2014/15</v>
      </c>
      <c r="B3" s="182"/>
      <c r="C3" s="636"/>
      <c r="D3" s="636"/>
      <c r="E3" s="636"/>
      <c r="F3" s="636"/>
      <c r="G3" s="636"/>
      <c r="H3" s="636"/>
      <c r="I3" s="636"/>
      <c r="J3" s="636"/>
      <c r="K3" s="636"/>
      <c r="L3" s="636"/>
      <c r="M3" s="636"/>
      <c r="N3" s="636"/>
      <c r="O3" s="636"/>
      <c r="P3" s="636"/>
      <c r="Q3" s="636"/>
      <c r="R3" s="637"/>
    </row>
    <row r="4" spans="1:18" ht="11.25" customHeight="1" x14ac:dyDescent="0.25">
      <c r="A4" s="249" t="s">
        <v>753</v>
      </c>
      <c r="B4" s="182"/>
      <c r="C4" s="636"/>
      <c r="D4" s="636"/>
      <c r="E4" s="636"/>
      <c r="F4" s="636"/>
      <c r="G4" s="636"/>
      <c r="H4" s="636"/>
      <c r="I4" s="636"/>
      <c r="J4" s="636"/>
      <c r="K4" s="636"/>
      <c r="L4" s="636"/>
      <c r="M4" s="636"/>
      <c r="N4" s="636"/>
      <c r="O4" s="636"/>
      <c r="P4" s="636"/>
      <c r="Q4" s="636"/>
      <c r="R4" s="637"/>
    </row>
    <row r="5" spans="1:18" ht="11.25" customHeight="1" x14ac:dyDescent="0.25">
      <c r="A5" s="250" t="s">
        <v>410</v>
      </c>
      <c r="B5" s="182"/>
      <c r="C5" s="1661">
        <v>65188</v>
      </c>
      <c r="D5" s="1661">
        <v>2</v>
      </c>
      <c r="E5" s="1661">
        <v>892</v>
      </c>
      <c r="F5" s="1661">
        <v>1556</v>
      </c>
      <c r="G5" s="1661"/>
      <c r="H5" s="1661"/>
      <c r="I5" s="1661">
        <v>19</v>
      </c>
      <c r="J5" s="1661"/>
      <c r="K5" s="1661">
        <v>4554</v>
      </c>
      <c r="L5" s="1661"/>
      <c r="M5" s="1661"/>
      <c r="N5" s="1661"/>
      <c r="O5" s="1661"/>
      <c r="P5" s="1661"/>
      <c r="Q5" s="1661"/>
      <c r="R5" s="1895"/>
    </row>
    <row r="6" spans="1:18" ht="11.25" customHeight="1" x14ac:dyDescent="0.25">
      <c r="A6" s="250" t="s">
        <v>1387</v>
      </c>
      <c r="B6" s="182"/>
      <c r="C6" s="1661"/>
      <c r="D6" s="1661"/>
      <c r="E6" s="1661"/>
      <c r="F6" s="1661"/>
      <c r="G6" s="1661"/>
      <c r="H6" s="1661"/>
      <c r="I6" s="1661"/>
      <c r="J6" s="1661"/>
      <c r="K6" s="1661"/>
      <c r="L6" s="1661"/>
      <c r="M6" s="1661"/>
      <c r="N6" s="1661"/>
      <c r="O6" s="1661"/>
      <c r="P6" s="1661"/>
      <c r="Q6" s="1661"/>
      <c r="R6" s="1895"/>
    </row>
    <row r="7" spans="1:18" ht="11.25" customHeight="1" x14ac:dyDescent="0.25">
      <c r="A7" s="250" t="s">
        <v>412</v>
      </c>
      <c r="B7" s="182"/>
      <c r="C7" s="1661"/>
      <c r="D7" s="1661"/>
      <c r="E7" s="1661"/>
      <c r="F7" s="1661"/>
      <c r="G7" s="1661"/>
      <c r="H7" s="1661"/>
      <c r="I7" s="1661"/>
      <c r="J7" s="1661"/>
      <c r="K7" s="1661"/>
      <c r="L7" s="1661"/>
      <c r="M7" s="1661"/>
      <c r="N7" s="1661"/>
      <c r="O7" s="1661"/>
      <c r="P7" s="1661"/>
      <c r="Q7" s="1661"/>
      <c r="R7" s="1895"/>
    </row>
    <row r="8" spans="1:18" ht="11.25" customHeight="1" x14ac:dyDescent="0.25">
      <c r="A8" s="250" t="s">
        <v>744</v>
      </c>
      <c r="B8" s="182"/>
      <c r="C8" s="1661">
        <v>1</v>
      </c>
      <c r="D8" s="1661">
        <v>1</v>
      </c>
      <c r="E8" s="1661">
        <v>1</v>
      </c>
      <c r="F8" s="1661">
        <v>1</v>
      </c>
      <c r="G8" s="1661">
        <v>1</v>
      </c>
      <c r="H8" s="1661">
        <v>1</v>
      </c>
      <c r="I8" s="1661">
        <v>1</v>
      </c>
      <c r="J8" s="1661">
        <v>1</v>
      </c>
      <c r="K8" s="1661">
        <v>1</v>
      </c>
      <c r="L8" s="1661">
        <v>1</v>
      </c>
      <c r="M8" s="1661">
        <v>1</v>
      </c>
      <c r="N8" s="1661">
        <v>1</v>
      </c>
      <c r="O8" s="1661">
        <v>1</v>
      </c>
      <c r="P8" s="1661">
        <v>1</v>
      </c>
      <c r="Q8" s="1661">
        <v>1</v>
      </c>
      <c r="R8" s="1895">
        <v>1</v>
      </c>
    </row>
    <row r="9" spans="1:18" ht="11.25" customHeight="1" x14ac:dyDescent="0.25">
      <c r="A9" s="250" t="s">
        <v>1388</v>
      </c>
      <c r="B9" s="182"/>
      <c r="C9" s="1661"/>
      <c r="D9" s="1661"/>
      <c r="E9" s="1661"/>
      <c r="F9" s="1661"/>
      <c r="G9" s="1661"/>
      <c r="H9" s="1661"/>
      <c r="I9" s="1661"/>
      <c r="J9" s="1661"/>
      <c r="K9" s="1661"/>
      <c r="L9" s="1661"/>
      <c r="M9" s="1661"/>
      <c r="N9" s="1661"/>
      <c r="O9" s="1661"/>
      <c r="P9" s="1661"/>
      <c r="Q9" s="1661"/>
      <c r="R9" s="1895"/>
    </row>
    <row r="10" spans="1:18" ht="11.25" customHeight="1" x14ac:dyDescent="0.25">
      <c r="A10" s="250" t="s">
        <v>745</v>
      </c>
      <c r="B10" s="182"/>
      <c r="C10" s="1661"/>
      <c r="D10" s="1661"/>
      <c r="E10" s="1661"/>
      <c r="F10" s="1661"/>
      <c r="G10" s="1661"/>
      <c r="H10" s="1661"/>
      <c r="I10" s="1661"/>
      <c r="J10" s="1661"/>
      <c r="K10" s="1661"/>
      <c r="L10" s="1661"/>
      <c r="M10" s="1661"/>
      <c r="N10" s="1661"/>
      <c r="O10" s="1661"/>
      <c r="P10" s="1661"/>
      <c r="Q10" s="1661"/>
      <c r="R10" s="1895"/>
    </row>
    <row r="11" spans="1:18" ht="11.25" customHeight="1" x14ac:dyDescent="0.25">
      <c r="A11" s="250" t="s">
        <v>367</v>
      </c>
      <c r="B11" s="182"/>
      <c r="C11" s="1661"/>
      <c r="D11" s="1661"/>
      <c r="E11" s="1661"/>
      <c r="F11" s="1661"/>
      <c r="G11" s="1661"/>
      <c r="H11" s="1661"/>
      <c r="I11" s="1661"/>
      <c r="J11" s="1661"/>
      <c r="K11" s="1661"/>
      <c r="L11" s="1661"/>
      <c r="M11" s="1661"/>
      <c r="N11" s="1661"/>
      <c r="O11" s="1661"/>
      <c r="P11" s="1661"/>
      <c r="Q11" s="1661"/>
      <c r="R11" s="1895"/>
    </row>
    <row r="12" spans="1:18" ht="11.25" customHeight="1" x14ac:dyDescent="0.25">
      <c r="A12" s="250" t="s">
        <v>368</v>
      </c>
      <c r="B12" s="182"/>
      <c r="C12" s="1661"/>
      <c r="D12" s="1661"/>
      <c r="E12" s="1661"/>
      <c r="F12" s="1661"/>
      <c r="G12" s="1661"/>
      <c r="H12" s="1661"/>
      <c r="I12" s="1661"/>
      <c r="J12" s="1661"/>
      <c r="K12" s="1661"/>
      <c r="L12" s="1661"/>
      <c r="M12" s="1661"/>
      <c r="N12" s="1661"/>
      <c r="O12" s="1661"/>
      <c r="P12" s="1661"/>
      <c r="Q12" s="1661"/>
      <c r="R12" s="1895"/>
    </row>
    <row r="13" spans="1:18" ht="11.25" customHeight="1" x14ac:dyDescent="0.25">
      <c r="A13" s="250" t="s">
        <v>369</v>
      </c>
      <c r="B13" s="182"/>
      <c r="C13" s="1661"/>
      <c r="D13" s="1661"/>
      <c r="E13" s="1661"/>
      <c r="F13" s="1661"/>
      <c r="G13" s="1661"/>
      <c r="H13" s="1661"/>
      <c r="I13" s="1661"/>
      <c r="J13" s="1661"/>
      <c r="K13" s="1661"/>
      <c r="L13" s="1661"/>
      <c r="M13" s="1661"/>
      <c r="N13" s="1661"/>
      <c r="O13" s="1661"/>
      <c r="P13" s="1661"/>
      <c r="Q13" s="1661"/>
      <c r="R13" s="1895"/>
    </row>
    <row r="14" spans="1:18" ht="11.25" customHeight="1" x14ac:dyDescent="0.25">
      <c r="A14" s="250" t="s">
        <v>755</v>
      </c>
      <c r="B14" s="182">
        <v>5</v>
      </c>
      <c r="C14" s="1661"/>
      <c r="D14" s="1661"/>
      <c r="E14" s="1661"/>
      <c r="F14" s="1661"/>
      <c r="G14" s="1661"/>
      <c r="H14" s="1661"/>
      <c r="I14" s="1661"/>
      <c r="J14" s="1661"/>
      <c r="K14" s="1661"/>
      <c r="L14" s="1661"/>
      <c r="M14" s="1661"/>
      <c r="N14" s="1661"/>
      <c r="O14" s="1661"/>
      <c r="P14" s="1661"/>
      <c r="Q14" s="1661"/>
      <c r="R14" s="1895"/>
    </row>
    <row r="15" spans="1:18" ht="11.25" customHeight="1" x14ac:dyDescent="0.25">
      <c r="A15" s="250" t="s">
        <v>743</v>
      </c>
      <c r="B15" s="182">
        <v>5</v>
      </c>
      <c r="C15" s="1661"/>
      <c r="D15" s="1661"/>
      <c r="E15" s="1661"/>
      <c r="F15" s="1661"/>
      <c r="G15" s="1661"/>
      <c r="H15" s="1661"/>
      <c r="I15" s="1661"/>
      <c r="J15" s="1661"/>
      <c r="K15" s="1661"/>
      <c r="L15" s="1661"/>
      <c r="M15" s="1661"/>
      <c r="N15" s="1661"/>
      <c r="O15" s="1661"/>
      <c r="P15" s="1661"/>
      <c r="Q15" s="1661"/>
      <c r="R15" s="1895"/>
    </row>
    <row r="16" spans="1:18" ht="11.25" customHeight="1" x14ac:dyDescent="0.25">
      <c r="A16" s="254" t="s">
        <v>1389</v>
      </c>
      <c r="B16" s="350"/>
      <c r="C16" s="1656"/>
      <c r="D16" s="1656"/>
      <c r="E16" s="1656"/>
      <c r="F16" s="1656"/>
      <c r="G16" s="1656"/>
      <c r="H16" s="1656"/>
      <c r="I16" s="1671"/>
      <c r="J16" s="1656"/>
      <c r="K16" s="1656"/>
      <c r="L16" s="1656"/>
      <c r="M16" s="1656"/>
      <c r="N16" s="1656"/>
      <c r="O16" s="1656"/>
      <c r="P16" s="1656"/>
      <c r="Q16" s="1656"/>
      <c r="R16" s="1896"/>
    </row>
    <row r="17" spans="1:18" ht="11.25" customHeight="1" x14ac:dyDescent="0.25">
      <c r="A17" s="250" t="s">
        <v>1668</v>
      </c>
      <c r="B17" s="182"/>
      <c r="C17" s="1827">
        <v>4</v>
      </c>
      <c r="D17" s="1827">
        <v>4</v>
      </c>
      <c r="E17" s="1827">
        <v>4</v>
      </c>
      <c r="F17" s="1827">
        <v>4</v>
      </c>
      <c r="G17" s="1827">
        <v>4</v>
      </c>
      <c r="H17" s="1827">
        <v>4</v>
      </c>
      <c r="I17" s="1827">
        <v>4</v>
      </c>
      <c r="J17" s="1827">
        <v>4</v>
      </c>
      <c r="K17" s="1827">
        <v>4</v>
      </c>
      <c r="L17" s="1827">
        <v>4</v>
      </c>
      <c r="M17" s="1827">
        <v>4</v>
      </c>
      <c r="N17" s="1827">
        <v>4</v>
      </c>
      <c r="O17" s="1827">
        <v>4</v>
      </c>
      <c r="P17" s="1827">
        <v>4</v>
      </c>
      <c r="Q17" s="1827">
        <v>4</v>
      </c>
      <c r="R17" s="1828">
        <v>4</v>
      </c>
    </row>
    <row r="18" spans="1:18" ht="11.25" customHeight="1" x14ac:dyDescent="0.25">
      <c r="A18" s="250" t="s">
        <v>1669</v>
      </c>
      <c r="B18" s="182"/>
      <c r="C18" s="1827" t="s">
        <v>159</v>
      </c>
      <c r="D18" s="1897" t="s">
        <v>159</v>
      </c>
      <c r="E18" s="1897" t="s">
        <v>159</v>
      </c>
      <c r="F18" s="1897" t="s">
        <v>159</v>
      </c>
      <c r="G18" s="1897" t="s">
        <v>159</v>
      </c>
      <c r="H18" s="1897" t="s">
        <v>159</v>
      </c>
      <c r="I18" s="1897" t="s">
        <v>159</v>
      </c>
      <c r="J18" s="1897" t="s">
        <v>159</v>
      </c>
      <c r="K18" s="1897" t="s">
        <v>159</v>
      </c>
      <c r="L18" s="1897" t="s">
        <v>159</v>
      </c>
      <c r="M18" s="1897" t="s">
        <v>159</v>
      </c>
      <c r="N18" s="1897" t="s">
        <v>159</v>
      </c>
      <c r="O18" s="1897" t="s">
        <v>159</v>
      </c>
      <c r="P18" s="1897" t="s">
        <v>159</v>
      </c>
      <c r="Q18" s="1897" t="s">
        <v>159</v>
      </c>
      <c r="R18" s="1898" t="s">
        <v>159</v>
      </c>
    </row>
    <row r="19" spans="1:18" ht="11.25" customHeight="1" x14ac:dyDescent="0.25">
      <c r="A19" s="250" t="s">
        <v>1670</v>
      </c>
      <c r="B19" s="182"/>
      <c r="C19" s="1827" t="s">
        <v>2663</v>
      </c>
      <c r="D19" s="1827" t="s">
        <v>2663</v>
      </c>
      <c r="E19" s="1827" t="s">
        <v>2663</v>
      </c>
      <c r="F19" s="1827" t="s">
        <v>2663</v>
      </c>
      <c r="G19" s="1827" t="s">
        <v>2663</v>
      </c>
      <c r="H19" s="1827" t="s">
        <v>2663</v>
      </c>
      <c r="I19" s="1827" t="s">
        <v>2663</v>
      </c>
      <c r="J19" s="1827" t="s">
        <v>2663</v>
      </c>
      <c r="K19" s="1827" t="s">
        <v>2663</v>
      </c>
      <c r="L19" s="1827" t="s">
        <v>2663</v>
      </c>
      <c r="M19" s="1827" t="s">
        <v>2663</v>
      </c>
      <c r="N19" s="1827" t="s">
        <v>2663</v>
      </c>
      <c r="O19" s="1827" t="s">
        <v>2663</v>
      </c>
      <c r="P19" s="1827" t="s">
        <v>2663</v>
      </c>
      <c r="Q19" s="1827" t="s">
        <v>2663</v>
      </c>
      <c r="R19" s="1828" t="s">
        <v>2663</v>
      </c>
    </row>
    <row r="20" spans="1:18" ht="11.25" customHeight="1" x14ac:dyDescent="0.25">
      <c r="A20" s="250" t="s">
        <v>1671</v>
      </c>
      <c r="B20" s="182"/>
      <c r="C20" s="1827"/>
      <c r="D20" s="1827"/>
      <c r="E20" s="1827"/>
      <c r="F20" s="1827"/>
      <c r="G20" s="1827"/>
      <c r="H20" s="1827"/>
      <c r="I20" s="1827"/>
      <c r="J20" s="1827"/>
      <c r="K20" s="1827"/>
      <c r="L20" s="1827"/>
      <c r="M20" s="1827"/>
      <c r="N20" s="1827"/>
      <c r="O20" s="1827"/>
      <c r="P20" s="1827"/>
      <c r="Q20" s="1827"/>
      <c r="R20" s="1828"/>
    </row>
    <row r="21" spans="1:18" ht="11.25" customHeight="1" x14ac:dyDescent="0.25">
      <c r="A21" s="250" t="s">
        <v>164</v>
      </c>
      <c r="B21" s="182"/>
      <c r="C21" s="1827"/>
      <c r="D21" s="1827"/>
      <c r="E21" s="1827"/>
      <c r="F21" s="1827"/>
      <c r="G21" s="1827"/>
      <c r="H21" s="1827"/>
      <c r="I21" s="1827"/>
      <c r="J21" s="1827"/>
      <c r="K21" s="1827"/>
      <c r="L21" s="1827"/>
      <c r="M21" s="1827"/>
      <c r="N21" s="1827"/>
      <c r="O21" s="1827"/>
      <c r="P21" s="1827"/>
      <c r="Q21" s="1827"/>
      <c r="R21" s="1828"/>
    </row>
    <row r="22" spans="1:18" ht="11.25" customHeight="1" x14ac:dyDescent="0.25">
      <c r="A22" s="250" t="s">
        <v>673</v>
      </c>
      <c r="B22" s="638"/>
      <c r="C22" s="1827" t="s">
        <v>2662</v>
      </c>
      <c r="D22" s="1827" t="s">
        <v>2662</v>
      </c>
      <c r="E22" s="1827" t="s">
        <v>2662</v>
      </c>
      <c r="F22" s="1827" t="s">
        <v>2662</v>
      </c>
      <c r="G22" s="1827" t="s">
        <v>2662</v>
      </c>
      <c r="H22" s="1827" t="s">
        <v>2662</v>
      </c>
      <c r="I22" s="1827" t="s">
        <v>2662</v>
      </c>
      <c r="J22" s="1827" t="s">
        <v>2662</v>
      </c>
      <c r="K22" s="1827" t="s">
        <v>2662</v>
      </c>
      <c r="L22" s="1827" t="s">
        <v>2662</v>
      </c>
      <c r="M22" s="1827" t="s">
        <v>2662</v>
      </c>
      <c r="N22" s="1827" t="s">
        <v>2662</v>
      </c>
      <c r="O22" s="1827" t="s">
        <v>2662</v>
      </c>
      <c r="P22" s="1827" t="s">
        <v>2662</v>
      </c>
      <c r="Q22" s="1827" t="s">
        <v>2662</v>
      </c>
      <c r="R22" s="1828" t="s">
        <v>2662</v>
      </c>
    </row>
    <row r="23" spans="1:18" ht="11.25" customHeight="1" x14ac:dyDescent="0.25">
      <c r="A23" s="250" t="s">
        <v>674</v>
      </c>
      <c r="B23" s="638"/>
      <c r="C23" s="1827" t="s">
        <v>2662</v>
      </c>
      <c r="D23" s="1827" t="s">
        <v>2662</v>
      </c>
      <c r="E23" s="1827" t="s">
        <v>2662</v>
      </c>
      <c r="F23" s="1827" t="s">
        <v>2662</v>
      </c>
      <c r="G23" s="1827" t="s">
        <v>2662</v>
      </c>
      <c r="H23" s="1827" t="s">
        <v>2662</v>
      </c>
      <c r="I23" s="1827" t="s">
        <v>2662</v>
      </c>
      <c r="J23" s="1827" t="s">
        <v>2662</v>
      </c>
      <c r="K23" s="1827" t="s">
        <v>2662</v>
      </c>
      <c r="L23" s="1827" t="s">
        <v>2662</v>
      </c>
      <c r="M23" s="1827" t="s">
        <v>2662</v>
      </c>
      <c r="N23" s="1827" t="s">
        <v>2662</v>
      </c>
      <c r="O23" s="1827" t="s">
        <v>2662</v>
      </c>
      <c r="P23" s="1827" t="s">
        <v>2662</v>
      </c>
      <c r="Q23" s="1827" t="s">
        <v>2662</v>
      </c>
      <c r="R23" s="1828" t="s">
        <v>2662</v>
      </c>
    </row>
    <row r="24" spans="1:18" ht="11.25" customHeight="1" x14ac:dyDescent="0.25">
      <c r="A24" s="250" t="s">
        <v>312</v>
      </c>
      <c r="B24" s="638"/>
      <c r="C24" s="1827"/>
      <c r="D24" s="1827"/>
      <c r="E24" s="1827"/>
      <c r="F24" s="1827"/>
      <c r="G24" s="1827"/>
      <c r="H24" s="1827"/>
      <c r="I24" s="1827"/>
      <c r="J24" s="1827"/>
      <c r="K24" s="1827"/>
      <c r="L24" s="1827"/>
      <c r="M24" s="1827"/>
      <c r="N24" s="1827"/>
      <c r="O24" s="1827"/>
      <c r="P24" s="1827"/>
      <c r="Q24" s="1827"/>
      <c r="R24" s="1828"/>
    </row>
    <row r="25" spans="1:18" ht="11.25" customHeight="1" x14ac:dyDescent="0.25">
      <c r="A25" s="249" t="s">
        <v>1528</v>
      </c>
      <c r="B25" s="182"/>
      <c r="C25" s="598"/>
      <c r="D25" s="598"/>
      <c r="E25" s="598"/>
      <c r="F25" s="598"/>
      <c r="G25" s="598"/>
      <c r="H25" s="598"/>
      <c r="I25" s="598"/>
      <c r="J25" s="598"/>
      <c r="K25" s="598"/>
      <c r="L25" s="598"/>
      <c r="M25" s="598"/>
      <c r="N25" s="598"/>
      <c r="O25" s="598"/>
      <c r="P25" s="598"/>
      <c r="Q25" s="598"/>
      <c r="R25" s="601"/>
    </row>
    <row r="26" spans="1:18" ht="11.25" customHeight="1" x14ac:dyDescent="0.25">
      <c r="A26" s="250" t="s">
        <v>521</v>
      </c>
      <c r="B26" s="182"/>
      <c r="C26" s="1849"/>
      <c r="D26" s="1849"/>
      <c r="E26" s="1849"/>
      <c r="F26" s="1849"/>
      <c r="G26" s="1849"/>
      <c r="H26" s="1849"/>
      <c r="I26" s="1849"/>
      <c r="J26" s="1849"/>
      <c r="K26" s="1849"/>
      <c r="L26" s="1849"/>
      <c r="M26" s="1849"/>
      <c r="N26" s="1849"/>
      <c r="O26" s="1849"/>
      <c r="P26" s="1849"/>
      <c r="Q26" s="1849"/>
      <c r="R26" s="1853"/>
    </row>
    <row r="27" spans="1:18" ht="11.25" customHeight="1" x14ac:dyDescent="0.25">
      <c r="A27" s="250" t="s">
        <v>522</v>
      </c>
      <c r="B27" s="182"/>
      <c r="C27" s="1849"/>
      <c r="D27" s="1849"/>
      <c r="E27" s="1849"/>
      <c r="F27" s="1849"/>
      <c r="G27" s="1849"/>
      <c r="H27" s="1849"/>
      <c r="I27" s="1849"/>
      <c r="J27" s="1849"/>
      <c r="K27" s="1849"/>
      <c r="L27" s="1849"/>
      <c r="M27" s="1849"/>
      <c r="N27" s="1849"/>
      <c r="O27" s="1849"/>
      <c r="P27" s="1849"/>
      <c r="Q27" s="1849"/>
      <c r="R27" s="1853"/>
    </row>
    <row r="28" spans="1:18" ht="11.25" customHeight="1" x14ac:dyDescent="0.25">
      <c r="A28" s="250" t="s">
        <v>523</v>
      </c>
      <c r="B28" s="182"/>
      <c r="C28" s="1849"/>
      <c r="D28" s="1849"/>
      <c r="E28" s="1849"/>
      <c r="F28" s="1849"/>
      <c r="G28" s="1849"/>
      <c r="H28" s="1849"/>
      <c r="I28" s="1849"/>
      <c r="J28" s="1849"/>
      <c r="K28" s="1849"/>
      <c r="L28" s="1849"/>
      <c r="M28" s="1849"/>
      <c r="N28" s="1849"/>
      <c r="O28" s="1849"/>
      <c r="P28" s="1849"/>
      <c r="Q28" s="1849"/>
      <c r="R28" s="1853"/>
    </row>
    <row r="29" spans="1:18" ht="11.25" customHeight="1" x14ac:dyDescent="0.25">
      <c r="A29" s="250" t="s">
        <v>524</v>
      </c>
      <c r="B29" s="182"/>
      <c r="C29" s="1849"/>
      <c r="D29" s="1849"/>
      <c r="E29" s="1849"/>
      <c r="F29" s="1849"/>
      <c r="G29" s="1849"/>
      <c r="H29" s="1849"/>
      <c r="I29" s="1849"/>
      <c r="J29" s="1849"/>
      <c r="K29" s="1849"/>
      <c r="L29" s="1849"/>
      <c r="M29" s="1849"/>
      <c r="N29" s="1849"/>
      <c r="O29" s="1849"/>
      <c r="P29" s="1849"/>
      <c r="Q29" s="1849"/>
      <c r="R29" s="1853"/>
    </row>
    <row r="30" spans="1:18" ht="11.25" customHeight="1" x14ac:dyDescent="0.25">
      <c r="A30" s="250" t="s">
        <v>525</v>
      </c>
      <c r="B30" s="182"/>
      <c r="C30" s="1849"/>
      <c r="D30" s="1849"/>
      <c r="E30" s="1849"/>
      <c r="F30" s="1849"/>
      <c r="G30" s="1849"/>
      <c r="H30" s="1849"/>
      <c r="I30" s="1849"/>
      <c r="J30" s="1849"/>
      <c r="K30" s="1849"/>
      <c r="L30" s="1849"/>
      <c r="M30" s="1849"/>
      <c r="N30" s="1849"/>
      <c r="O30" s="1849"/>
      <c r="P30" s="1849"/>
      <c r="Q30" s="1849"/>
      <c r="R30" s="1853"/>
    </row>
    <row r="31" spans="1:18" ht="11.25" customHeight="1" x14ac:dyDescent="0.25">
      <c r="A31" s="250" t="s">
        <v>526</v>
      </c>
      <c r="B31" s="638">
        <v>2</v>
      </c>
      <c r="C31" s="1849"/>
      <c r="D31" s="1849"/>
      <c r="E31" s="1849"/>
      <c r="F31" s="1849"/>
      <c r="G31" s="1849"/>
      <c r="H31" s="1849"/>
      <c r="I31" s="1849"/>
      <c r="J31" s="1849"/>
      <c r="K31" s="1849"/>
      <c r="L31" s="1849"/>
      <c r="M31" s="1849"/>
      <c r="N31" s="1849"/>
      <c r="O31" s="1849"/>
      <c r="P31" s="1849"/>
      <c r="Q31" s="1849"/>
      <c r="R31" s="1853"/>
    </row>
    <row r="32" spans="1:18" ht="11.25" customHeight="1" x14ac:dyDescent="0.25">
      <c r="A32" s="265" t="s">
        <v>1529</v>
      </c>
      <c r="B32" s="182"/>
      <c r="C32" s="639"/>
      <c r="D32" s="639"/>
      <c r="E32" s="639"/>
      <c r="F32" s="639"/>
      <c r="G32" s="639"/>
      <c r="H32" s="639"/>
      <c r="I32" s="639"/>
      <c r="J32" s="639"/>
      <c r="K32" s="639"/>
      <c r="L32" s="639"/>
      <c r="M32" s="639"/>
      <c r="N32" s="639"/>
      <c r="O32" s="639"/>
      <c r="P32" s="639"/>
      <c r="Q32" s="639"/>
      <c r="R32" s="640"/>
    </row>
    <row r="33" spans="1:19" ht="15.75" customHeight="1" x14ac:dyDescent="0.25">
      <c r="A33" s="250" t="s">
        <v>1443</v>
      </c>
      <c r="B33" s="182">
        <v>6</v>
      </c>
      <c r="C33" s="1855"/>
      <c r="D33" s="1855"/>
      <c r="E33" s="1855"/>
      <c r="F33" s="1855"/>
      <c r="G33" s="1855"/>
      <c r="H33" s="1855"/>
      <c r="I33" s="1855"/>
      <c r="J33" s="1855"/>
      <c r="K33" s="1855"/>
      <c r="L33" s="1855"/>
      <c r="M33" s="1855"/>
      <c r="N33" s="1855"/>
      <c r="O33" s="1855"/>
      <c r="P33" s="1855"/>
      <c r="Q33" s="1855"/>
      <c r="R33" s="1858"/>
    </row>
    <row r="34" spans="1:19" ht="11.25" customHeight="1" x14ac:dyDescent="0.25">
      <c r="A34" s="250" t="s">
        <v>1444</v>
      </c>
      <c r="B34" s="182">
        <v>6</v>
      </c>
      <c r="C34" s="1855"/>
      <c r="D34" s="1855"/>
      <c r="E34" s="1855"/>
      <c r="F34" s="1855"/>
      <c r="G34" s="1855"/>
      <c r="H34" s="1855"/>
      <c r="I34" s="1855"/>
      <c r="J34" s="1855"/>
      <c r="K34" s="1855"/>
      <c r="L34" s="1855"/>
      <c r="M34" s="1855"/>
      <c r="N34" s="1855"/>
      <c r="O34" s="1855"/>
      <c r="P34" s="1855"/>
      <c r="Q34" s="1855"/>
      <c r="R34" s="1858"/>
    </row>
    <row r="35" spans="1:19" ht="11.25" customHeight="1" x14ac:dyDescent="0.25">
      <c r="A35" s="250" t="s">
        <v>1445</v>
      </c>
      <c r="B35" s="182">
        <v>6</v>
      </c>
      <c r="C35" s="1855"/>
      <c r="D35" s="1855"/>
      <c r="E35" s="1855"/>
      <c r="F35" s="1855"/>
      <c r="G35" s="1855"/>
      <c r="H35" s="1855"/>
      <c r="I35" s="1855"/>
      <c r="J35" s="1855"/>
      <c r="K35" s="1855"/>
      <c r="L35" s="1855"/>
      <c r="M35" s="1855"/>
      <c r="N35" s="1855"/>
      <c r="O35" s="1855"/>
      <c r="P35" s="1855"/>
      <c r="Q35" s="1855"/>
      <c r="R35" s="1858"/>
    </row>
    <row r="36" spans="1:19" ht="11.25" customHeight="1" x14ac:dyDescent="0.25">
      <c r="A36" s="250" t="s">
        <v>1446</v>
      </c>
      <c r="B36" s="182">
        <v>6</v>
      </c>
      <c r="C36" s="1860"/>
      <c r="D36" s="1860"/>
      <c r="E36" s="1860"/>
      <c r="F36" s="1860"/>
      <c r="G36" s="1860"/>
      <c r="H36" s="1860"/>
      <c r="I36" s="1860"/>
      <c r="J36" s="1860"/>
      <c r="K36" s="1860"/>
      <c r="L36" s="1860"/>
      <c r="M36" s="1860"/>
      <c r="N36" s="1860"/>
      <c r="O36" s="1860"/>
      <c r="P36" s="1860"/>
      <c r="Q36" s="1860"/>
      <c r="R36" s="1899"/>
    </row>
    <row r="37" spans="1:19" ht="15.75" customHeight="1" x14ac:dyDescent="0.25">
      <c r="A37" s="641" t="s">
        <v>1530</v>
      </c>
      <c r="B37" s="642"/>
      <c r="C37" s="643"/>
      <c r="D37" s="643"/>
      <c r="E37" s="643"/>
      <c r="F37" s="643"/>
      <c r="G37" s="643"/>
      <c r="H37" s="643"/>
      <c r="I37" s="643"/>
      <c r="J37" s="643"/>
      <c r="K37" s="643"/>
      <c r="L37" s="643"/>
      <c r="M37" s="643"/>
      <c r="N37" s="643"/>
      <c r="O37" s="643"/>
      <c r="P37" s="643"/>
      <c r="Q37" s="643"/>
      <c r="R37" s="644"/>
    </row>
    <row r="38" spans="1:19" ht="11.25" customHeight="1" x14ac:dyDescent="0.25">
      <c r="A38" s="254" t="s">
        <v>311</v>
      </c>
      <c r="B38" s="645">
        <v>3</v>
      </c>
      <c r="C38" s="1900"/>
      <c r="D38" s="1900"/>
      <c r="E38" s="1900"/>
      <c r="F38" s="1900"/>
      <c r="G38" s="1900"/>
      <c r="H38" s="1900"/>
      <c r="I38" s="1900"/>
      <c r="J38" s="1900"/>
      <c r="K38" s="1900"/>
      <c r="L38" s="1900"/>
      <c r="M38" s="1900"/>
      <c r="N38" s="1900"/>
      <c r="O38" s="1900"/>
      <c r="P38" s="1900"/>
      <c r="Q38" s="1900"/>
      <c r="R38" s="1901"/>
      <c r="S38" s="369"/>
    </row>
    <row r="39" spans="1:19" ht="11.25" customHeight="1" x14ac:dyDescent="0.25">
      <c r="A39" s="254" t="s">
        <v>1447</v>
      </c>
      <c r="B39" s="645"/>
      <c r="C39" s="1606"/>
      <c r="D39" s="1606"/>
      <c r="E39" s="1606"/>
      <c r="F39" s="1606"/>
      <c r="G39" s="1606"/>
      <c r="H39" s="1606"/>
      <c r="I39" s="1606"/>
      <c r="J39" s="1606"/>
      <c r="K39" s="1606"/>
      <c r="L39" s="1606"/>
      <c r="M39" s="1606"/>
      <c r="N39" s="1606"/>
      <c r="O39" s="1606"/>
      <c r="P39" s="1606"/>
      <c r="Q39" s="1606"/>
      <c r="R39" s="1609"/>
      <c r="S39" s="646">
        <f>SUM(C39:R39)</f>
        <v>0</v>
      </c>
    </row>
    <row r="40" spans="1:19" ht="11.25" customHeight="1" x14ac:dyDescent="0.25">
      <c r="A40" s="254" t="s">
        <v>1448</v>
      </c>
      <c r="B40" s="645"/>
      <c r="C40" s="1606"/>
      <c r="D40" s="1606"/>
      <c r="E40" s="1606"/>
      <c r="F40" s="1606"/>
      <c r="G40" s="1606"/>
      <c r="H40" s="1606"/>
      <c r="I40" s="1606"/>
      <c r="J40" s="1606"/>
      <c r="K40" s="1606"/>
      <c r="L40" s="1606"/>
      <c r="M40" s="1606"/>
      <c r="N40" s="1606"/>
      <c r="O40" s="1606"/>
      <c r="P40" s="1606"/>
      <c r="Q40" s="1606"/>
      <c r="R40" s="1609"/>
      <c r="S40" s="646">
        <f>SUM(C40:R40)</f>
        <v>0</v>
      </c>
    </row>
    <row r="41" spans="1:19" ht="11.25" customHeight="1" x14ac:dyDescent="0.25">
      <c r="A41" s="254" t="s">
        <v>1569</v>
      </c>
      <c r="B41" s="645">
        <v>4</v>
      </c>
      <c r="C41" s="1874"/>
      <c r="D41" s="1874"/>
      <c r="E41" s="1874"/>
      <c r="F41" s="1874"/>
      <c r="G41" s="1874"/>
      <c r="H41" s="1874"/>
      <c r="I41" s="1874"/>
      <c r="J41" s="1874"/>
      <c r="K41" s="1874"/>
      <c r="L41" s="1874"/>
      <c r="M41" s="1874"/>
      <c r="N41" s="1874"/>
      <c r="O41" s="1874"/>
      <c r="P41" s="1874"/>
      <c r="Q41" s="1874"/>
      <c r="R41" s="1877"/>
    </row>
    <row r="42" spans="1:19" ht="11.25" customHeight="1" x14ac:dyDescent="0.25">
      <c r="A42" s="254" t="s">
        <v>1487</v>
      </c>
      <c r="B42" s="645"/>
      <c r="C42" s="1631"/>
      <c r="D42" s="1631"/>
      <c r="E42" s="1631"/>
      <c r="F42" s="1631"/>
      <c r="G42" s="1631"/>
      <c r="H42" s="1631"/>
      <c r="I42" s="1631"/>
      <c r="J42" s="1631"/>
      <c r="K42" s="1631"/>
      <c r="L42" s="1631"/>
      <c r="M42" s="1631"/>
      <c r="N42" s="1631"/>
      <c r="O42" s="1631"/>
      <c r="P42" s="1631"/>
      <c r="Q42" s="1631"/>
      <c r="R42" s="1640"/>
      <c r="S42" s="369"/>
    </row>
    <row r="43" spans="1:19" ht="15.75" customHeight="1" x14ac:dyDescent="0.25">
      <c r="A43" s="254" t="s">
        <v>417</v>
      </c>
      <c r="B43" s="645"/>
      <c r="C43" s="1902"/>
      <c r="D43" s="1902"/>
      <c r="E43" s="1902"/>
      <c r="F43" s="1902"/>
      <c r="G43" s="1902"/>
      <c r="H43" s="1902"/>
      <c r="I43" s="1902"/>
      <c r="J43" s="1902"/>
      <c r="K43" s="1902"/>
      <c r="L43" s="1902"/>
      <c r="M43" s="1902"/>
      <c r="N43" s="1902"/>
      <c r="O43" s="1902"/>
      <c r="P43" s="1902"/>
      <c r="Q43" s="1902"/>
      <c r="R43" s="1903"/>
      <c r="S43" s="369"/>
    </row>
    <row r="44" spans="1:19" ht="11.25" customHeight="1" x14ac:dyDescent="0.25">
      <c r="A44" s="254" t="s">
        <v>517</v>
      </c>
      <c r="B44" s="645"/>
      <c r="C44" s="1631"/>
      <c r="D44" s="1631"/>
      <c r="E44" s="1631"/>
      <c r="F44" s="1631"/>
      <c r="G44" s="1631"/>
      <c r="H44" s="1631"/>
      <c r="I44" s="1631"/>
      <c r="J44" s="1631"/>
      <c r="K44" s="1631"/>
      <c r="L44" s="1631"/>
      <c r="M44" s="1631"/>
      <c r="N44" s="1631"/>
      <c r="O44" s="1631"/>
      <c r="P44" s="1631"/>
      <c r="Q44" s="1631"/>
      <c r="R44" s="1640"/>
      <c r="S44" s="369"/>
    </row>
    <row r="45" spans="1:19" ht="11.25" customHeight="1" x14ac:dyDescent="0.25">
      <c r="A45" s="254" t="s">
        <v>518</v>
      </c>
      <c r="B45" s="645"/>
      <c r="C45" s="1631"/>
      <c r="D45" s="1631"/>
      <c r="E45" s="1631"/>
      <c r="F45" s="1631"/>
      <c r="G45" s="1631"/>
      <c r="H45" s="1631"/>
      <c r="I45" s="1631"/>
      <c r="J45" s="1631"/>
      <c r="K45" s="1631"/>
      <c r="L45" s="1631"/>
      <c r="M45" s="1631"/>
      <c r="N45" s="1631"/>
      <c r="O45" s="1631"/>
      <c r="P45" s="1631"/>
      <c r="Q45" s="1631"/>
      <c r="R45" s="1640"/>
      <c r="S45" s="369"/>
    </row>
    <row r="46" spans="1:19" ht="11.25" customHeight="1" x14ac:dyDescent="0.25">
      <c r="A46" s="254" t="s">
        <v>519</v>
      </c>
      <c r="B46" s="645"/>
      <c r="C46" s="1631"/>
      <c r="D46" s="1631"/>
      <c r="E46" s="1631"/>
      <c r="F46" s="1631"/>
      <c r="G46" s="1631"/>
      <c r="H46" s="1631"/>
      <c r="I46" s="1631"/>
      <c r="J46" s="1631"/>
      <c r="K46" s="1631"/>
      <c r="L46" s="1631"/>
      <c r="M46" s="1631"/>
      <c r="N46" s="1631"/>
      <c r="O46" s="1631"/>
      <c r="P46" s="1631"/>
      <c r="Q46" s="1631"/>
      <c r="R46" s="1640"/>
      <c r="S46" s="369"/>
    </row>
    <row r="47" spans="1:19" ht="11.25" customHeight="1" x14ac:dyDescent="0.25">
      <c r="A47" s="254" t="s">
        <v>1486</v>
      </c>
      <c r="B47" s="645"/>
      <c r="C47" s="1631"/>
      <c r="D47" s="1631"/>
      <c r="E47" s="1631"/>
      <c r="F47" s="1631"/>
      <c r="G47" s="1631"/>
      <c r="H47" s="1631"/>
      <c r="I47" s="1631"/>
      <c r="J47" s="1631"/>
      <c r="K47" s="1631"/>
      <c r="L47" s="1631"/>
      <c r="M47" s="1631"/>
      <c r="N47" s="1631"/>
      <c r="O47" s="1631"/>
      <c r="P47" s="1631"/>
      <c r="Q47" s="1631"/>
      <c r="R47" s="1640"/>
      <c r="S47" s="369"/>
    </row>
    <row r="48" spans="1:19" ht="11.25" customHeight="1" x14ac:dyDescent="0.25">
      <c r="A48" s="649" t="s">
        <v>658</v>
      </c>
      <c r="B48" s="638"/>
      <c r="C48" s="647"/>
      <c r="D48" s="647"/>
      <c r="E48" s="647"/>
      <c r="F48" s="647"/>
      <c r="G48" s="647"/>
      <c r="H48" s="647"/>
      <c r="I48" s="647"/>
      <c r="J48" s="647"/>
      <c r="K48" s="647"/>
      <c r="L48" s="647"/>
      <c r="M48" s="647"/>
      <c r="N48" s="647"/>
      <c r="O48" s="647"/>
      <c r="P48" s="647"/>
      <c r="Q48" s="647"/>
      <c r="R48" s="648"/>
      <c r="S48" s="369"/>
    </row>
    <row r="49" spans="1:19" ht="5.0999999999999996" customHeight="1" x14ac:dyDescent="0.25">
      <c r="A49" s="650"/>
      <c r="B49" s="397"/>
      <c r="C49" s="628"/>
      <c r="D49" s="628"/>
      <c r="E49" s="628"/>
      <c r="F49" s="628"/>
      <c r="G49" s="628"/>
      <c r="H49" s="628"/>
      <c r="I49" s="628"/>
      <c r="J49" s="628"/>
      <c r="K49" s="628"/>
      <c r="L49" s="628"/>
      <c r="M49" s="628"/>
      <c r="N49" s="628"/>
      <c r="O49" s="628"/>
      <c r="P49" s="628"/>
      <c r="Q49" s="628"/>
      <c r="R49" s="629"/>
    </row>
    <row r="50" spans="1:19" s="708" customFormat="1" x14ac:dyDescent="0.25">
      <c r="A50" s="1257" t="str">
        <f>head27a</f>
        <v>References</v>
      </c>
      <c r="B50" s="1071"/>
      <c r="C50" s="1037"/>
      <c r="D50" s="1037"/>
      <c r="E50" s="1037"/>
      <c r="F50" s="1037"/>
      <c r="G50" s="1037"/>
      <c r="H50" s="1037"/>
      <c r="I50" s="1037"/>
      <c r="J50" s="1037"/>
      <c r="K50" s="1037"/>
      <c r="L50" s="1037"/>
      <c r="M50" s="1037"/>
      <c r="N50" s="1037"/>
      <c r="O50" s="1037"/>
      <c r="P50" s="1037"/>
      <c r="Q50" s="1037"/>
      <c r="R50" s="1037"/>
    </row>
    <row r="51" spans="1:19" s="708" customFormat="1" x14ac:dyDescent="0.25">
      <c r="A51" s="1412" t="s">
        <v>529</v>
      </c>
      <c r="B51" s="1071"/>
      <c r="C51" s="1037"/>
      <c r="D51" s="1037"/>
      <c r="E51" s="1037"/>
      <c r="F51" s="1037"/>
      <c r="G51" s="1037"/>
      <c r="H51" s="1037"/>
      <c r="I51" s="1037"/>
      <c r="J51" s="1037"/>
      <c r="K51" s="1037"/>
      <c r="L51" s="1037"/>
      <c r="M51" s="1037"/>
      <c r="N51" s="1037"/>
      <c r="O51" s="1037"/>
      <c r="P51" s="1037"/>
      <c r="Q51" s="1037"/>
      <c r="R51" s="1037"/>
    </row>
    <row r="52" spans="1:19" s="708" customFormat="1" x14ac:dyDescent="0.25">
      <c r="A52" s="1412" t="s">
        <v>530</v>
      </c>
      <c r="B52" s="1071"/>
      <c r="C52" s="1037"/>
      <c r="D52" s="1037"/>
      <c r="E52" s="1037"/>
      <c r="F52" s="1037"/>
      <c r="G52" s="1037"/>
      <c r="H52" s="1037"/>
      <c r="I52" s="1037"/>
      <c r="J52" s="1037"/>
      <c r="K52" s="1037"/>
      <c r="L52" s="1037"/>
      <c r="M52" s="1037"/>
      <c r="N52" s="1037"/>
      <c r="O52" s="1037"/>
      <c r="P52" s="1037"/>
      <c r="Q52" s="1037"/>
      <c r="R52" s="1037"/>
    </row>
    <row r="53" spans="1:19" s="708" customFormat="1" x14ac:dyDescent="0.25">
      <c r="A53" s="1258" t="s">
        <v>531</v>
      </c>
      <c r="B53" s="1071"/>
      <c r="C53" s="1037"/>
      <c r="D53" s="1037"/>
      <c r="E53" s="1037"/>
      <c r="F53" s="1037"/>
      <c r="G53" s="1037"/>
      <c r="H53" s="1037"/>
      <c r="I53" s="1037"/>
      <c r="J53" s="1037"/>
      <c r="K53" s="1037"/>
      <c r="L53" s="1037"/>
      <c r="M53" s="1037"/>
      <c r="N53" s="1037"/>
      <c r="O53" s="1037"/>
      <c r="P53" s="1037"/>
      <c r="Q53" s="1037"/>
      <c r="R53" s="1037"/>
    </row>
    <row r="54" spans="1:19" s="708" customFormat="1" x14ac:dyDescent="0.25">
      <c r="A54" s="1412" t="s">
        <v>532</v>
      </c>
      <c r="B54" s="1071"/>
      <c r="C54" s="1037"/>
      <c r="D54" s="1037"/>
      <c r="E54" s="1037"/>
      <c r="F54" s="1037"/>
      <c r="G54" s="1037"/>
      <c r="H54" s="1037"/>
      <c r="I54" s="1037"/>
      <c r="J54" s="1037"/>
      <c r="K54" s="1037"/>
      <c r="L54" s="1037"/>
      <c r="M54" s="1037"/>
      <c r="N54" s="1037"/>
      <c r="O54" s="1037"/>
      <c r="P54" s="1037"/>
      <c r="Q54" s="1037"/>
      <c r="R54" s="1037"/>
    </row>
    <row r="55" spans="1:19" s="708" customFormat="1" x14ac:dyDescent="0.25">
      <c r="A55" s="1190" t="s">
        <v>1591</v>
      </c>
      <c r="B55" s="1071"/>
      <c r="C55" s="1037"/>
      <c r="D55" s="1037"/>
      <c r="E55" s="1037"/>
      <c r="F55" s="1037"/>
      <c r="G55" s="1037"/>
      <c r="H55" s="1037"/>
      <c r="I55" s="1037"/>
      <c r="J55" s="1037"/>
      <c r="K55" s="1037"/>
      <c r="L55" s="1037"/>
      <c r="M55" s="1037"/>
      <c r="N55" s="1037"/>
      <c r="O55" s="1037"/>
      <c r="P55" s="1037"/>
      <c r="Q55" s="1037"/>
      <c r="R55" s="1037"/>
    </row>
    <row r="56" spans="1:19" s="708" customFormat="1" x14ac:dyDescent="0.25">
      <c r="A56" s="1190" t="s">
        <v>1593</v>
      </c>
      <c r="B56" s="1071"/>
      <c r="C56" s="1037"/>
      <c r="D56" s="1037"/>
      <c r="E56" s="1037"/>
      <c r="F56" s="1037"/>
      <c r="G56" s="1037"/>
      <c r="H56" s="1037"/>
      <c r="I56" s="1037"/>
      <c r="J56" s="1037"/>
      <c r="K56" s="1037"/>
      <c r="L56" s="1037"/>
      <c r="M56" s="1037"/>
      <c r="N56" s="1037"/>
      <c r="O56" s="1037"/>
      <c r="P56" s="1037"/>
      <c r="Q56" s="1037"/>
      <c r="R56" s="1037"/>
    </row>
    <row r="57" spans="1:19" ht="15.75" customHeight="1" x14ac:dyDescent="0.25">
      <c r="A57" s="2297"/>
      <c r="B57" s="2297"/>
      <c r="C57" s="930"/>
      <c r="D57" s="930"/>
      <c r="E57" s="930"/>
      <c r="F57" s="930"/>
      <c r="G57" s="930"/>
      <c r="H57" s="930"/>
      <c r="I57" s="930"/>
      <c r="J57" s="930"/>
      <c r="K57" s="930"/>
      <c r="L57" s="930"/>
      <c r="M57" s="930"/>
      <c r="N57" s="930"/>
      <c r="O57" s="930"/>
      <c r="P57" s="930"/>
      <c r="Q57" s="930"/>
      <c r="R57" s="930"/>
      <c r="S57" s="360"/>
    </row>
    <row r="58" spans="1:19" ht="38.25" customHeight="1" x14ac:dyDescent="0.25">
      <c r="A58" s="2298"/>
      <c r="B58" s="2299"/>
      <c r="C58" s="2300"/>
      <c r="D58" s="2300"/>
      <c r="E58" s="2300"/>
      <c r="F58" s="2300"/>
      <c r="G58" s="2300"/>
      <c r="H58" s="2300"/>
      <c r="I58" s="2300"/>
      <c r="J58" s="2300"/>
      <c r="K58" s="2300"/>
      <c r="L58" s="2300"/>
      <c r="M58" s="2300"/>
      <c r="N58" s="2300"/>
      <c r="O58" s="2300"/>
      <c r="P58" s="2300"/>
      <c r="Q58" s="2300"/>
      <c r="R58" s="2300"/>
      <c r="S58" s="360"/>
    </row>
    <row r="59" spans="1:19" ht="11.25" customHeight="1" x14ac:dyDescent="0.25">
      <c r="A59" s="2308"/>
      <c r="B59" s="2302"/>
      <c r="C59" s="238"/>
      <c r="D59" s="238"/>
      <c r="E59" s="238"/>
      <c r="F59" s="238"/>
      <c r="G59" s="238"/>
      <c r="H59" s="238"/>
      <c r="I59" s="238"/>
      <c r="J59" s="238"/>
      <c r="K59" s="238"/>
      <c r="L59" s="238"/>
      <c r="M59" s="238"/>
      <c r="N59" s="238"/>
      <c r="O59" s="238"/>
      <c r="P59" s="238"/>
      <c r="Q59" s="238"/>
      <c r="R59" s="238"/>
      <c r="S59" s="360"/>
    </row>
    <row r="60" spans="1:19" ht="11.25" customHeight="1" x14ac:dyDescent="0.25">
      <c r="A60" s="2308"/>
      <c r="B60" s="2302"/>
      <c r="C60" s="238"/>
      <c r="D60" s="238"/>
      <c r="E60" s="238"/>
      <c r="F60" s="238"/>
      <c r="G60" s="238"/>
      <c r="H60" s="238"/>
      <c r="I60" s="238"/>
      <c r="J60" s="238"/>
      <c r="K60" s="238"/>
      <c r="L60" s="238"/>
      <c r="M60" s="238"/>
      <c r="N60" s="238"/>
      <c r="O60" s="238"/>
      <c r="P60" s="238"/>
      <c r="Q60" s="238"/>
      <c r="R60" s="238"/>
      <c r="S60" s="360"/>
    </row>
    <row r="61" spans="1:19" ht="11.25" customHeight="1" x14ac:dyDescent="0.25">
      <c r="A61" s="2301"/>
      <c r="B61" s="2302"/>
      <c r="C61" s="2091"/>
      <c r="D61" s="2091"/>
      <c r="E61" s="2091"/>
      <c r="F61" s="2091"/>
      <c r="G61" s="2091"/>
      <c r="H61" s="2091"/>
      <c r="I61" s="2091"/>
      <c r="J61" s="2091"/>
      <c r="K61" s="2091"/>
      <c r="L61" s="2091"/>
      <c r="M61" s="2091"/>
      <c r="N61" s="2091"/>
      <c r="O61" s="2091"/>
      <c r="P61" s="2091"/>
      <c r="Q61" s="2091"/>
      <c r="R61" s="2091"/>
      <c r="S61" s="360"/>
    </row>
    <row r="62" spans="1:19" ht="11.25" customHeight="1" x14ac:dyDescent="0.25">
      <c r="A62" s="2301"/>
      <c r="B62" s="2302"/>
      <c r="C62" s="2091"/>
      <c r="D62" s="2091"/>
      <c r="E62" s="2091"/>
      <c r="F62" s="2091"/>
      <c r="G62" s="2091"/>
      <c r="H62" s="2091"/>
      <c r="I62" s="2091"/>
      <c r="J62" s="2091"/>
      <c r="K62" s="2091"/>
      <c r="L62" s="2091"/>
      <c r="M62" s="2091"/>
      <c r="N62" s="2091"/>
      <c r="O62" s="2091"/>
      <c r="P62" s="2091"/>
      <c r="Q62" s="2091"/>
      <c r="R62" s="2091"/>
      <c r="S62" s="360"/>
    </row>
    <row r="63" spans="1:19" ht="11.25" customHeight="1" x14ac:dyDescent="0.25">
      <c r="A63" s="2301"/>
      <c r="B63" s="2302"/>
      <c r="C63" s="2091"/>
      <c r="D63" s="2091"/>
      <c r="E63" s="2091"/>
      <c r="F63" s="2091"/>
      <c r="G63" s="2091"/>
      <c r="H63" s="2091"/>
      <c r="I63" s="2091"/>
      <c r="J63" s="2091"/>
      <c r="K63" s="2091"/>
      <c r="L63" s="2091"/>
      <c r="M63" s="2091"/>
      <c r="N63" s="2091"/>
      <c r="O63" s="2091"/>
      <c r="P63" s="2091"/>
      <c r="Q63" s="2091"/>
      <c r="R63" s="2091"/>
      <c r="S63" s="360"/>
    </row>
    <row r="64" spans="1:19" ht="11.25" customHeight="1" x14ac:dyDescent="0.25">
      <c r="A64" s="2301"/>
      <c r="B64" s="2302"/>
      <c r="C64" s="2091"/>
      <c r="D64" s="2091"/>
      <c r="E64" s="2091"/>
      <c r="F64" s="2091"/>
      <c r="G64" s="2091"/>
      <c r="H64" s="2091"/>
      <c r="I64" s="2091"/>
      <c r="J64" s="2091"/>
      <c r="K64" s="2091"/>
      <c r="L64" s="2091"/>
      <c r="M64" s="2091"/>
      <c r="N64" s="2091"/>
      <c r="O64" s="2091"/>
      <c r="P64" s="2091"/>
      <c r="Q64" s="2091"/>
      <c r="R64" s="2091"/>
      <c r="S64" s="360"/>
    </row>
    <row r="65" spans="1:19" ht="11.25" customHeight="1" x14ac:dyDescent="0.25">
      <c r="A65" s="2301"/>
      <c r="B65" s="2302"/>
      <c r="C65" s="2091"/>
      <c r="D65" s="2091"/>
      <c r="E65" s="2091"/>
      <c r="F65" s="2091"/>
      <c r="G65" s="2091"/>
      <c r="H65" s="2091"/>
      <c r="I65" s="2091"/>
      <c r="J65" s="2091"/>
      <c r="K65" s="2091"/>
      <c r="L65" s="2091"/>
      <c r="M65" s="2091"/>
      <c r="N65" s="2091"/>
      <c r="O65" s="2091"/>
      <c r="P65" s="2091"/>
      <c r="Q65" s="2091"/>
      <c r="R65" s="2091"/>
      <c r="S65" s="360"/>
    </row>
    <row r="66" spans="1:19" ht="11.25" customHeight="1" x14ac:dyDescent="0.25">
      <c r="A66" s="2301"/>
      <c r="B66" s="2302"/>
      <c r="C66" s="2091"/>
      <c r="D66" s="2091"/>
      <c r="E66" s="2091"/>
      <c r="F66" s="2091"/>
      <c r="G66" s="2091"/>
      <c r="H66" s="2091"/>
      <c r="I66" s="2091"/>
      <c r="J66" s="2091"/>
      <c r="K66" s="2091"/>
      <c r="L66" s="2091"/>
      <c r="M66" s="2091"/>
      <c r="N66" s="2091"/>
      <c r="O66" s="2091"/>
      <c r="P66" s="2091"/>
      <c r="Q66" s="2091"/>
      <c r="R66" s="2091"/>
      <c r="S66" s="360"/>
    </row>
    <row r="67" spans="1:19" ht="11.25" customHeight="1" x14ac:dyDescent="0.25">
      <c r="A67" s="2301"/>
      <c r="B67" s="2302"/>
      <c r="C67" s="2091"/>
      <c r="D67" s="2091"/>
      <c r="E67" s="2091"/>
      <c r="F67" s="2091"/>
      <c r="G67" s="2091"/>
      <c r="H67" s="2091"/>
      <c r="I67" s="2091"/>
      <c r="J67" s="2091"/>
      <c r="K67" s="2091"/>
      <c r="L67" s="2091"/>
      <c r="M67" s="2091"/>
      <c r="N67" s="2091"/>
      <c r="O67" s="2091"/>
      <c r="P67" s="2091"/>
      <c r="Q67" s="2091"/>
      <c r="R67" s="2091"/>
      <c r="S67" s="360"/>
    </row>
    <row r="68" spans="1:19" ht="11.25" customHeight="1" x14ac:dyDescent="0.25">
      <c r="A68" s="2301"/>
      <c r="B68" s="2302"/>
      <c r="C68" s="2091"/>
      <c r="D68" s="2091"/>
      <c r="E68" s="2091"/>
      <c r="F68" s="2091"/>
      <c r="G68" s="2091"/>
      <c r="H68" s="2091"/>
      <c r="I68" s="2091"/>
      <c r="J68" s="2091"/>
      <c r="K68" s="2091"/>
      <c r="L68" s="2091"/>
      <c r="M68" s="2091"/>
      <c r="N68" s="2091"/>
      <c r="O68" s="2091"/>
      <c r="P68" s="2091"/>
      <c r="Q68" s="2091"/>
      <c r="R68" s="2091"/>
      <c r="S68" s="360"/>
    </row>
    <row r="69" spans="1:19" ht="11.25" customHeight="1" x14ac:dyDescent="0.25">
      <c r="A69" s="2301"/>
      <c r="B69" s="2302"/>
      <c r="C69" s="2091"/>
      <c r="D69" s="2091"/>
      <c r="E69" s="2091"/>
      <c r="F69" s="2091"/>
      <c r="G69" s="2091"/>
      <c r="H69" s="2091"/>
      <c r="I69" s="2091"/>
      <c r="J69" s="2091"/>
      <c r="K69" s="2091"/>
      <c r="L69" s="2091"/>
      <c r="M69" s="2091"/>
      <c r="N69" s="2091"/>
      <c r="O69" s="2091"/>
      <c r="P69" s="2091"/>
      <c r="Q69" s="2091"/>
      <c r="R69" s="2091"/>
      <c r="S69" s="360"/>
    </row>
    <row r="70" spans="1:19" ht="11.25" customHeight="1" x14ac:dyDescent="0.25">
      <c r="A70" s="2301"/>
      <c r="B70" s="2302"/>
      <c r="C70" s="2091"/>
      <c r="D70" s="2091"/>
      <c r="E70" s="2091"/>
      <c r="F70" s="2091"/>
      <c r="G70" s="2091"/>
      <c r="H70" s="2091"/>
      <c r="I70" s="2091"/>
      <c r="J70" s="2091"/>
      <c r="K70" s="2091"/>
      <c r="L70" s="2091"/>
      <c r="M70" s="2091"/>
      <c r="N70" s="2091"/>
      <c r="O70" s="2091"/>
      <c r="P70" s="2091"/>
      <c r="Q70" s="2091"/>
      <c r="R70" s="2091"/>
      <c r="S70" s="360"/>
    </row>
    <row r="71" spans="1:19" ht="11.25" customHeight="1" x14ac:dyDescent="0.25">
      <c r="A71" s="2301"/>
      <c r="B71" s="2302"/>
      <c r="C71" s="2091"/>
      <c r="D71" s="2091"/>
      <c r="E71" s="2091"/>
      <c r="F71" s="2091"/>
      <c r="G71" s="2091"/>
      <c r="H71" s="2091"/>
      <c r="I71" s="2091"/>
      <c r="J71" s="2091"/>
      <c r="K71" s="2091"/>
      <c r="L71" s="2091"/>
      <c r="M71" s="2091"/>
      <c r="N71" s="2091"/>
      <c r="O71" s="2091"/>
      <c r="P71" s="2091"/>
      <c r="Q71" s="2091"/>
      <c r="R71" s="2091"/>
      <c r="S71" s="360"/>
    </row>
    <row r="72" spans="1:19" ht="11.25" customHeight="1" x14ac:dyDescent="0.25">
      <c r="A72" s="2301"/>
      <c r="B72" s="2302"/>
      <c r="C72" s="2309"/>
      <c r="D72" s="2309"/>
      <c r="E72" s="2309"/>
      <c r="F72" s="2309"/>
      <c r="G72" s="2309"/>
      <c r="H72" s="2309"/>
      <c r="I72" s="2310"/>
      <c r="J72" s="2309"/>
      <c r="K72" s="2309"/>
      <c r="L72" s="2309"/>
      <c r="M72" s="2309"/>
      <c r="N72" s="2309"/>
      <c r="O72" s="2309"/>
      <c r="P72" s="2309"/>
      <c r="Q72" s="2309"/>
      <c r="R72" s="2309"/>
      <c r="S72" s="360"/>
    </row>
    <row r="73" spans="1:19" ht="11.25" customHeight="1" x14ac:dyDescent="0.25">
      <c r="A73" s="2301"/>
      <c r="B73" s="2302"/>
      <c r="C73" s="2311"/>
      <c r="D73" s="2311"/>
      <c r="E73" s="2311"/>
      <c r="F73" s="2311"/>
      <c r="G73" s="2311"/>
      <c r="H73" s="2311"/>
      <c r="I73" s="2311"/>
      <c r="J73" s="2311"/>
      <c r="K73" s="2311"/>
      <c r="L73" s="2311"/>
      <c r="M73" s="2311"/>
      <c r="N73" s="2311"/>
      <c r="O73" s="2311"/>
      <c r="P73" s="2311"/>
      <c r="Q73" s="2311"/>
      <c r="R73" s="2311"/>
      <c r="S73" s="360"/>
    </row>
    <row r="74" spans="1:19" ht="11.25" customHeight="1" x14ac:dyDescent="0.25">
      <c r="A74" s="2301"/>
      <c r="B74" s="2302"/>
      <c r="C74" s="2312"/>
      <c r="D74" s="2312"/>
      <c r="E74" s="2312"/>
      <c r="F74" s="2312"/>
      <c r="G74" s="2312"/>
      <c r="H74" s="2312"/>
      <c r="I74" s="2312"/>
      <c r="J74" s="2312"/>
      <c r="K74" s="2312"/>
      <c r="L74" s="2312"/>
      <c r="M74" s="2312"/>
      <c r="N74" s="2312"/>
      <c r="O74" s="2312"/>
      <c r="P74" s="2312"/>
      <c r="Q74" s="2312"/>
      <c r="R74" s="2312"/>
      <c r="S74" s="360"/>
    </row>
    <row r="75" spans="1:19" ht="11.25" customHeight="1" x14ac:dyDescent="0.25">
      <c r="A75" s="2301"/>
      <c r="B75" s="2302"/>
      <c r="C75" s="2311"/>
      <c r="D75" s="2311"/>
      <c r="E75" s="2311"/>
      <c r="F75" s="2311"/>
      <c r="G75" s="2311"/>
      <c r="H75" s="2311"/>
      <c r="I75" s="2311"/>
      <c r="J75" s="2311"/>
      <c r="K75" s="2311"/>
      <c r="L75" s="2311"/>
      <c r="M75" s="2311"/>
      <c r="N75" s="2311"/>
      <c r="O75" s="2311"/>
      <c r="P75" s="2311"/>
      <c r="Q75" s="2311"/>
      <c r="R75" s="2311"/>
      <c r="S75" s="360"/>
    </row>
    <row r="76" spans="1:19" ht="11.25" customHeight="1" x14ac:dyDescent="0.25">
      <c r="A76" s="2301"/>
      <c r="B76" s="2302"/>
      <c r="C76" s="2311"/>
      <c r="D76" s="2311"/>
      <c r="E76" s="2311"/>
      <c r="F76" s="2311"/>
      <c r="G76" s="2311"/>
      <c r="H76" s="2311"/>
      <c r="I76" s="2311"/>
      <c r="J76" s="2311"/>
      <c r="K76" s="2311"/>
      <c r="L76" s="2311"/>
      <c r="M76" s="2311"/>
      <c r="N76" s="2311"/>
      <c r="O76" s="2311"/>
      <c r="P76" s="2311"/>
      <c r="Q76" s="2311"/>
      <c r="R76" s="2311"/>
      <c r="S76" s="360"/>
    </row>
    <row r="77" spans="1:19" ht="11.25" customHeight="1" x14ac:dyDescent="0.25">
      <c r="A77" s="2301"/>
      <c r="B77" s="2302"/>
      <c r="C77" s="2311"/>
      <c r="D77" s="2311"/>
      <c r="E77" s="2311"/>
      <c r="F77" s="2311"/>
      <c r="G77" s="2311"/>
      <c r="H77" s="2311"/>
      <c r="I77" s="2311"/>
      <c r="J77" s="2311"/>
      <c r="K77" s="2311"/>
      <c r="L77" s="2311"/>
      <c r="M77" s="2311"/>
      <c r="N77" s="2311"/>
      <c r="O77" s="2311"/>
      <c r="P77" s="2311"/>
      <c r="Q77" s="2311"/>
      <c r="R77" s="2311"/>
      <c r="S77" s="360"/>
    </row>
    <row r="78" spans="1:19" ht="11.25" customHeight="1" x14ac:dyDescent="0.25">
      <c r="A78" s="2301"/>
      <c r="B78" s="2305"/>
      <c r="C78" s="2311"/>
      <c r="D78" s="2311"/>
      <c r="E78" s="2311"/>
      <c r="F78" s="2311"/>
      <c r="G78" s="2311"/>
      <c r="H78" s="2311"/>
      <c r="I78" s="2311"/>
      <c r="J78" s="2311"/>
      <c r="K78" s="2311"/>
      <c r="L78" s="2311"/>
      <c r="M78" s="2311"/>
      <c r="N78" s="2311"/>
      <c r="O78" s="2311"/>
      <c r="P78" s="2311"/>
      <c r="Q78" s="2311"/>
      <c r="R78" s="2311"/>
      <c r="S78" s="360"/>
    </row>
    <row r="79" spans="1:19" ht="11.25" customHeight="1" x14ac:dyDescent="0.25">
      <c r="A79" s="2301"/>
      <c r="B79" s="2305"/>
      <c r="C79" s="2311"/>
      <c r="D79" s="2311"/>
      <c r="E79" s="2311"/>
      <c r="F79" s="2311"/>
      <c r="G79" s="2311"/>
      <c r="H79" s="2311"/>
      <c r="I79" s="2311"/>
      <c r="J79" s="2311"/>
      <c r="K79" s="2311"/>
      <c r="L79" s="2311"/>
      <c r="M79" s="2311"/>
      <c r="N79" s="2311"/>
      <c r="O79" s="2311"/>
      <c r="P79" s="2311"/>
      <c r="Q79" s="2311"/>
      <c r="R79" s="2311"/>
      <c r="S79" s="360"/>
    </row>
    <row r="80" spans="1:19" ht="11.25" customHeight="1" x14ac:dyDescent="0.25">
      <c r="A80" s="2301"/>
      <c r="B80" s="2305"/>
      <c r="C80" s="2311"/>
      <c r="D80" s="2311"/>
      <c r="E80" s="2311"/>
      <c r="F80" s="2311"/>
      <c r="G80" s="2311"/>
      <c r="H80" s="2311"/>
      <c r="I80" s="2311"/>
      <c r="J80" s="2311"/>
      <c r="K80" s="2311"/>
      <c r="L80" s="2311"/>
      <c r="M80" s="2311"/>
      <c r="N80" s="2311"/>
      <c r="O80" s="2311"/>
      <c r="P80" s="2311"/>
      <c r="Q80" s="2311"/>
      <c r="R80" s="2311"/>
      <c r="S80" s="360"/>
    </row>
    <row r="81" spans="1:19" ht="11.25" customHeight="1" x14ac:dyDescent="0.25">
      <c r="A81" s="2308"/>
      <c r="B81" s="2302"/>
      <c r="C81" s="602"/>
      <c r="D81" s="602"/>
      <c r="E81" s="602"/>
      <c r="F81" s="602"/>
      <c r="G81" s="602"/>
      <c r="H81" s="602"/>
      <c r="I81" s="602"/>
      <c r="J81" s="602"/>
      <c r="K81" s="602"/>
      <c r="L81" s="602"/>
      <c r="M81" s="602"/>
      <c r="N81" s="602"/>
      <c r="O81" s="602"/>
      <c r="P81" s="602"/>
      <c r="Q81" s="602"/>
      <c r="R81" s="602"/>
      <c r="S81" s="360"/>
    </row>
    <row r="82" spans="1:19" ht="11.25" customHeight="1" x14ac:dyDescent="0.25">
      <c r="A82" s="2301"/>
      <c r="B82" s="2302"/>
      <c r="C82" s="2313"/>
      <c r="D82" s="2313"/>
      <c r="E82" s="2313"/>
      <c r="F82" s="2313"/>
      <c r="G82" s="2313"/>
      <c r="H82" s="2313"/>
      <c r="I82" s="2313"/>
      <c r="J82" s="2313"/>
      <c r="K82" s="2313"/>
      <c r="L82" s="2313"/>
      <c r="M82" s="2313"/>
      <c r="N82" s="2313"/>
      <c r="O82" s="2313"/>
      <c r="P82" s="2313"/>
      <c r="Q82" s="2313"/>
      <c r="R82" s="2313"/>
      <c r="S82" s="360"/>
    </row>
    <row r="83" spans="1:19" ht="11.25" customHeight="1" x14ac:dyDescent="0.25">
      <c r="A83" s="2301"/>
      <c r="B83" s="2302"/>
      <c r="C83" s="2313"/>
      <c r="D83" s="2313"/>
      <c r="E83" s="2313"/>
      <c r="F83" s="2313"/>
      <c r="G83" s="2313"/>
      <c r="H83" s="2313"/>
      <c r="I83" s="2313"/>
      <c r="J83" s="2313"/>
      <c r="K83" s="2313"/>
      <c r="L83" s="2313"/>
      <c r="M83" s="2313"/>
      <c r="N83" s="2313"/>
      <c r="O83" s="2313"/>
      <c r="P83" s="2313"/>
      <c r="Q83" s="2313"/>
      <c r="R83" s="2313"/>
      <c r="S83" s="360"/>
    </row>
    <row r="84" spans="1:19" ht="11.25" customHeight="1" x14ac:dyDescent="0.25">
      <c r="A84" s="2301"/>
      <c r="B84" s="2302"/>
      <c r="C84" s="2313"/>
      <c r="D84" s="2313"/>
      <c r="E84" s="2313"/>
      <c r="F84" s="2313"/>
      <c r="G84" s="2313"/>
      <c r="H84" s="2313"/>
      <c r="I84" s="2313"/>
      <c r="J84" s="2313"/>
      <c r="K84" s="2313"/>
      <c r="L84" s="2313"/>
      <c r="M84" s="2313"/>
      <c r="N84" s="2313"/>
      <c r="O84" s="2313"/>
      <c r="P84" s="2313"/>
      <c r="Q84" s="2313"/>
      <c r="R84" s="2313"/>
      <c r="S84" s="360"/>
    </row>
    <row r="85" spans="1:19" ht="11.25" customHeight="1" x14ac:dyDescent="0.25">
      <c r="A85" s="2301"/>
      <c r="B85" s="2302"/>
      <c r="C85" s="2313"/>
      <c r="D85" s="2313"/>
      <c r="E85" s="2313"/>
      <c r="F85" s="2313"/>
      <c r="G85" s="2313"/>
      <c r="H85" s="2313"/>
      <c r="I85" s="2313"/>
      <c r="J85" s="2313"/>
      <c r="K85" s="2313"/>
      <c r="L85" s="2313"/>
      <c r="M85" s="2313"/>
      <c r="N85" s="2313"/>
      <c r="O85" s="2313"/>
      <c r="P85" s="2313"/>
      <c r="Q85" s="2313"/>
      <c r="R85" s="2313"/>
      <c r="S85" s="360"/>
    </row>
    <row r="86" spans="1:19" ht="11.25" customHeight="1" x14ac:dyDescent="0.25">
      <c r="A86" s="2301"/>
      <c r="B86" s="2302"/>
      <c r="C86" s="2313"/>
      <c r="D86" s="2313"/>
      <c r="E86" s="2313"/>
      <c r="F86" s="2313"/>
      <c r="G86" s="2313"/>
      <c r="H86" s="2313"/>
      <c r="I86" s="2313"/>
      <c r="J86" s="2313"/>
      <c r="K86" s="2313"/>
      <c r="L86" s="2313"/>
      <c r="M86" s="2313"/>
      <c r="N86" s="2313"/>
      <c r="O86" s="2313"/>
      <c r="P86" s="2313"/>
      <c r="Q86" s="2313"/>
      <c r="R86" s="2313"/>
      <c r="S86" s="360"/>
    </row>
    <row r="87" spans="1:19" ht="11.25" customHeight="1" x14ac:dyDescent="0.25">
      <c r="A87" s="2301"/>
      <c r="B87" s="2305"/>
      <c r="C87" s="2313"/>
      <c r="D87" s="2313"/>
      <c r="E87" s="2313"/>
      <c r="F87" s="2313"/>
      <c r="G87" s="2313"/>
      <c r="H87" s="2313"/>
      <c r="I87" s="2313"/>
      <c r="J87" s="2313"/>
      <c r="K87" s="2313"/>
      <c r="L87" s="2313"/>
      <c r="M87" s="2313"/>
      <c r="N87" s="2313"/>
      <c r="O87" s="2313"/>
      <c r="P87" s="2313"/>
      <c r="Q87" s="2313"/>
      <c r="R87" s="2313"/>
      <c r="S87" s="360"/>
    </row>
    <row r="88" spans="1:19" ht="11.25" customHeight="1" x14ac:dyDescent="0.25">
      <c r="A88" s="2306"/>
      <c r="B88" s="2302"/>
      <c r="C88" s="2303"/>
      <c r="D88" s="2303"/>
      <c r="E88" s="2303"/>
      <c r="F88" s="2303"/>
      <c r="G88" s="2303"/>
      <c r="H88" s="2303"/>
      <c r="I88" s="2303"/>
      <c r="J88" s="2303"/>
      <c r="K88" s="2303"/>
      <c r="L88" s="2303"/>
      <c r="M88" s="2303"/>
      <c r="N88" s="2303"/>
      <c r="O88" s="2303"/>
      <c r="P88" s="2303"/>
      <c r="Q88" s="2303"/>
      <c r="R88" s="2303"/>
      <c r="S88" s="360"/>
    </row>
    <row r="89" spans="1:19" ht="11.25" customHeight="1" x14ac:dyDescent="0.25">
      <c r="A89" s="2301"/>
      <c r="B89" s="2302"/>
      <c r="C89" s="2314"/>
      <c r="D89" s="2314"/>
      <c r="E89" s="2314"/>
      <c r="F89" s="2314"/>
      <c r="G89" s="2314"/>
      <c r="H89" s="2314"/>
      <c r="I89" s="2314"/>
      <c r="J89" s="2314"/>
      <c r="K89" s="2314"/>
      <c r="L89" s="2314"/>
      <c r="M89" s="2314"/>
      <c r="N89" s="2314"/>
      <c r="O89" s="2314"/>
      <c r="P89" s="2314"/>
      <c r="Q89" s="2314"/>
      <c r="R89" s="2314"/>
      <c r="S89" s="360"/>
    </row>
    <row r="90" spans="1:19" ht="11.25" customHeight="1" x14ac:dyDescent="0.25">
      <c r="A90" s="2301"/>
      <c r="B90" s="2302"/>
      <c r="C90" s="2314"/>
      <c r="D90" s="2314"/>
      <c r="E90" s="2314"/>
      <c r="F90" s="2314"/>
      <c r="G90" s="2314"/>
      <c r="H90" s="2314"/>
      <c r="I90" s="2314"/>
      <c r="J90" s="2314"/>
      <c r="K90" s="2314"/>
      <c r="L90" s="2314"/>
      <c r="M90" s="2314"/>
      <c r="N90" s="2314"/>
      <c r="O90" s="2314"/>
      <c r="P90" s="2314"/>
      <c r="Q90" s="2314"/>
      <c r="R90" s="2314"/>
      <c r="S90" s="360"/>
    </row>
    <row r="91" spans="1:19" ht="11.25" customHeight="1" x14ac:dyDescent="0.25">
      <c r="A91" s="2301"/>
      <c r="B91" s="2302"/>
      <c r="C91" s="2314"/>
      <c r="D91" s="2314"/>
      <c r="E91" s="2314"/>
      <c r="F91" s="2314"/>
      <c r="G91" s="2314"/>
      <c r="H91" s="2314"/>
      <c r="I91" s="2314"/>
      <c r="J91" s="2314"/>
      <c r="K91" s="2314"/>
      <c r="L91" s="2314"/>
      <c r="M91" s="2314"/>
      <c r="N91" s="2314"/>
      <c r="O91" s="2314"/>
      <c r="P91" s="2314"/>
      <c r="Q91" s="2314"/>
      <c r="R91" s="2314"/>
      <c r="S91" s="360"/>
    </row>
    <row r="92" spans="1:19" ht="11.25" customHeight="1" x14ac:dyDescent="0.25">
      <c r="A92" s="2301"/>
      <c r="B92" s="2315"/>
      <c r="C92" s="2316"/>
      <c r="D92" s="2316"/>
      <c r="E92" s="2316"/>
      <c r="F92" s="2316"/>
      <c r="G92" s="2316"/>
      <c r="H92" s="2316"/>
      <c r="I92" s="2316"/>
      <c r="J92" s="2316"/>
      <c r="K92" s="2316"/>
      <c r="L92" s="2316"/>
      <c r="M92" s="2316"/>
      <c r="N92" s="2316"/>
      <c r="O92" s="2316"/>
      <c r="P92" s="2316"/>
      <c r="Q92" s="2316"/>
      <c r="R92" s="2316"/>
      <c r="S92" s="360"/>
    </row>
    <row r="93" spans="1:19" ht="11.25" customHeight="1" x14ac:dyDescent="0.25">
      <c r="A93" s="2308"/>
      <c r="B93" s="2315"/>
      <c r="C93" s="2304"/>
      <c r="D93" s="2304"/>
      <c r="E93" s="2304"/>
      <c r="F93" s="2304"/>
      <c r="G93" s="2304"/>
      <c r="H93" s="2304"/>
      <c r="I93" s="2304"/>
      <c r="J93" s="2304"/>
      <c r="K93" s="2304"/>
      <c r="L93" s="2304"/>
      <c r="M93" s="2304"/>
      <c r="N93" s="2304"/>
      <c r="O93" s="2304"/>
      <c r="P93" s="2304"/>
      <c r="Q93" s="2304"/>
      <c r="R93" s="2304"/>
      <c r="S93" s="360"/>
    </row>
    <row r="94" spans="1:19" ht="11.25" customHeight="1" x14ac:dyDescent="0.25">
      <c r="A94" s="2301"/>
      <c r="B94" s="2305"/>
      <c r="C94" s="2317"/>
      <c r="D94" s="2317"/>
      <c r="E94" s="2317"/>
      <c r="F94" s="2317"/>
      <c r="G94" s="2317"/>
      <c r="H94" s="2317"/>
      <c r="I94" s="2317"/>
      <c r="J94" s="2317"/>
      <c r="K94" s="2317"/>
      <c r="L94" s="2317"/>
      <c r="M94" s="2317"/>
      <c r="N94" s="2317"/>
      <c r="O94" s="2317"/>
      <c r="P94" s="2317"/>
      <c r="Q94" s="2317"/>
      <c r="R94" s="2317"/>
      <c r="S94" s="360"/>
    </row>
    <row r="95" spans="1:19" ht="11.25" customHeight="1" x14ac:dyDescent="0.25">
      <c r="A95" s="2301"/>
      <c r="B95" s="2305"/>
      <c r="C95" s="1328"/>
      <c r="D95" s="1328"/>
      <c r="E95" s="1328"/>
      <c r="F95" s="1328"/>
      <c r="G95" s="1328"/>
      <c r="H95" s="1328"/>
      <c r="I95" s="1328"/>
      <c r="J95" s="1328"/>
      <c r="K95" s="1328"/>
      <c r="L95" s="1328"/>
      <c r="M95" s="1328"/>
      <c r="N95" s="1328"/>
      <c r="O95" s="1328"/>
      <c r="P95" s="1328"/>
      <c r="Q95" s="1328"/>
      <c r="R95" s="1328"/>
      <c r="S95" s="360"/>
    </row>
    <row r="96" spans="1:19" ht="11.25" customHeight="1" x14ac:dyDescent="0.25">
      <c r="A96" s="2301"/>
      <c r="B96" s="2305"/>
      <c r="C96" s="1328"/>
      <c r="D96" s="1328"/>
      <c r="E96" s="1328"/>
      <c r="F96" s="1328"/>
      <c r="G96" s="1328"/>
      <c r="H96" s="1328"/>
      <c r="I96" s="1328"/>
      <c r="J96" s="1328"/>
      <c r="K96" s="1328"/>
      <c r="L96" s="1328"/>
      <c r="M96" s="1328"/>
      <c r="N96" s="1328"/>
      <c r="O96" s="1328"/>
      <c r="P96" s="1328"/>
      <c r="Q96" s="1328"/>
      <c r="R96" s="1328"/>
      <c r="S96" s="360"/>
    </row>
    <row r="97" spans="1:19" ht="11.25" customHeight="1" x14ac:dyDescent="0.25">
      <c r="A97" s="2301"/>
      <c r="B97" s="2305"/>
      <c r="C97" s="2318"/>
      <c r="D97" s="2318"/>
      <c r="E97" s="2318"/>
      <c r="F97" s="2318"/>
      <c r="G97" s="2318"/>
      <c r="H97" s="2318"/>
      <c r="I97" s="2318"/>
      <c r="J97" s="2318"/>
      <c r="K97" s="2318"/>
      <c r="L97" s="2318"/>
      <c r="M97" s="2318"/>
      <c r="N97" s="2318"/>
      <c r="O97" s="2318"/>
      <c r="P97" s="2318"/>
      <c r="Q97" s="2318"/>
      <c r="R97" s="2318"/>
      <c r="S97" s="360"/>
    </row>
    <row r="98" spans="1:19" ht="11.25" customHeight="1" x14ac:dyDescent="0.25">
      <c r="A98" s="2301"/>
      <c r="B98" s="2305"/>
      <c r="C98" s="2319"/>
      <c r="D98" s="2319"/>
      <c r="E98" s="2319"/>
      <c r="F98" s="2319"/>
      <c r="G98" s="2319"/>
      <c r="H98" s="2319"/>
      <c r="I98" s="2319"/>
      <c r="J98" s="2319"/>
      <c r="K98" s="2319"/>
      <c r="L98" s="2319"/>
      <c r="M98" s="2319"/>
      <c r="N98" s="2319"/>
      <c r="O98" s="2319"/>
      <c r="P98" s="2319"/>
      <c r="Q98" s="2319"/>
      <c r="R98" s="2319"/>
      <c r="S98" s="360"/>
    </row>
    <row r="99" spans="1:19" ht="11.25" customHeight="1" x14ac:dyDescent="0.25">
      <c r="A99" s="2301"/>
      <c r="B99" s="2305"/>
      <c r="C99" s="2319"/>
      <c r="D99" s="2319"/>
      <c r="E99" s="2319"/>
      <c r="F99" s="2319"/>
      <c r="G99" s="2319"/>
      <c r="H99" s="2319"/>
      <c r="I99" s="2319"/>
      <c r="J99" s="2319"/>
      <c r="K99" s="2319"/>
      <c r="L99" s="2319"/>
      <c r="M99" s="2319"/>
      <c r="N99" s="2319"/>
      <c r="O99" s="2319"/>
      <c r="P99" s="2319"/>
      <c r="Q99" s="2319"/>
      <c r="R99" s="2319"/>
      <c r="S99" s="360"/>
    </row>
    <row r="100" spans="1:19" ht="11.25" customHeight="1" x14ac:dyDescent="0.25">
      <c r="A100" s="2301"/>
      <c r="B100" s="2305"/>
      <c r="C100" s="2319"/>
      <c r="D100" s="2319"/>
      <c r="E100" s="2319"/>
      <c r="F100" s="2319"/>
      <c r="G100" s="2319"/>
      <c r="H100" s="2319"/>
      <c r="I100" s="2319"/>
      <c r="J100" s="2319"/>
      <c r="K100" s="2319"/>
      <c r="L100" s="2319"/>
      <c r="M100" s="2319"/>
      <c r="N100" s="2319"/>
      <c r="O100" s="2319"/>
      <c r="P100" s="2319"/>
      <c r="Q100" s="2319"/>
      <c r="R100" s="2319"/>
      <c r="S100" s="360"/>
    </row>
    <row r="101" spans="1:19" ht="11.25" customHeight="1" x14ac:dyDescent="0.25">
      <c r="A101" s="2301"/>
      <c r="B101" s="2305"/>
      <c r="C101" s="2319"/>
      <c r="D101" s="2319"/>
      <c r="E101" s="2319"/>
      <c r="F101" s="2319"/>
      <c r="G101" s="2319"/>
      <c r="H101" s="2319"/>
      <c r="I101" s="2319"/>
      <c r="J101" s="2319"/>
      <c r="K101" s="2319"/>
      <c r="L101" s="2319"/>
      <c r="M101" s="2319"/>
      <c r="N101" s="2319"/>
      <c r="O101" s="2319"/>
      <c r="P101" s="2319"/>
      <c r="Q101" s="2319"/>
      <c r="R101" s="2319"/>
      <c r="S101" s="360"/>
    </row>
    <row r="102" spans="1:19" ht="11.25" customHeight="1" x14ac:dyDescent="0.25">
      <c r="A102" s="2301"/>
      <c r="B102" s="2305"/>
      <c r="C102" s="2319"/>
      <c r="D102" s="2319"/>
      <c r="E102" s="2319"/>
      <c r="F102" s="2319"/>
      <c r="G102" s="2319"/>
      <c r="H102" s="2319"/>
      <c r="I102" s="2319"/>
      <c r="J102" s="2319"/>
      <c r="K102" s="2319"/>
      <c r="L102" s="2319"/>
      <c r="M102" s="2319"/>
      <c r="N102" s="2319"/>
      <c r="O102" s="2319"/>
      <c r="P102" s="2319"/>
      <c r="Q102" s="2319"/>
      <c r="R102" s="2319"/>
      <c r="S102" s="360"/>
    </row>
    <row r="103" spans="1:19" ht="11.25" customHeight="1" x14ac:dyDescent="0.25">
      <c r="A103" s="2301"/>
      <c r="B103" s="2305"/>
      <c r="C103" s="2319"/>
      <c r="D103" s="2319"/>
      <c r="E103" s="2319"/>
      <c r="F103" s="2319"/>
      <c r="G103" s="2319"/>
      <c r="H103" s="2319"/>
      <c r="I103" s="2319"/>
      <c r="J103" s="2319"/>
      <c r="K103" s="2319"/>
      <c r="L103" s="2319"/>
      <c r="M103" s="2319"/>
      <c r="N103" s="2319"/>
      <c r="O103" s="2319"/>
      <c r="P103" s="2319"/>
      <c r="Q103" s="2319"/>
      <c r="R103" s="2319"/>
      <c r="S103" s="360"/>
    </row>
    <row r="104" spans="1:19" ht="11.25" customHeight="1" x14ac:dyDescent="0.25">
      <c r="A104" s="2306"/>
      <c r="B104" s="2305"/>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07"/>
      <c r="B105" s="2302"/>
      <c r="C105" s="363"/>
      <c r="D105" s="363"/>
      <c r="E105" s="363"/>
      <c r="F105" s="363"/>
      <c r="G105" s="363"/>
      <c r="H105" s="363"/>
      <c r="I105" s="363"/>
      <c r="J105" s="363"/>
      <c r="K105" s="363"/>
      <c r="L105" s="363"/>
      <c r="M105" s="363"/>
      <c r="N105" s="363"/>
      <c r="O105" s="363"/>
      <c r="P105" s="363"/>
      <c r="Q105" s="363"/>
      <c r="R105" s="363"/>
      <c r="S105" s="360"/>
    </row>
    <row r="106" spans="1:19" s="708" customFormat="1" x14ac:dyDescent="0.25">
      <c r="A106" s="2320"/>
      <c r="B106" s="2311"/>
      <c r="C106" s="1035"/>
      <c r="D106" s="1035"/>
      <c r="E106" s="1035"/>
      <c r="F106" s="1035"/>
      <c r="G106" s="1035"/>
      <c r="H106" s="1035"/>
      <c r="I106" s="1035"/>
      <c r="J106" s="1035"/>
      <c r="K106" s="1035"/>
      <c r="L106" s="1035"/>
      <c r="M106" s="1035"/>
      <c r="N106" s="1035"/>
      <c r="O106" s="1035"/>
      <c r="P106" s="1035"/>
      <c r="Q106" s="1035"/>
      <c r="R106" s="1035"/>
      <c r="S106" s="1058"/>
    </row>
    <row r="107" spans="1:19" s="708" customFormat="1" x14ac:dyDescent="0.25">
      <c r="A107" s="2321"/>
      <c r="B107" s="2311"/>
      <c r="C107" s="1035"/>
      <c r="D107" s="1035"/>
      <c r="E107" s="1035"/>
      <c r="F107" s="1035"/>
      <c r="G107" s="1035"/>
      <c r="H107" s="1035"/>
      <c r="I107" s="1035"/>
      <c r="J107" s="1035"/>
      <c r="K107" s="1035"/>
      <c r="L107" s="1035"/>
      <c r="M107" s="1035"/>
      <c r="N107" s="1035"/>
      <c r="O107" s="1035"/>
      <c r="P107" s="1035"/>
      <c r="Q107" s="1035"/>
      <c r="R107" s="1035"/>
      <c r="S107" s="1058"/>
    </row>
    <row r="108" spans="1:19" s="708" customFormat="1" x14ac:dyDescent="0.25">
      <c r="A108" s="2321"/>
      <c r="B108" s="2311"/>
      <c r="C108" s="1035"/>
      <c r="D108" s="1035"/>
      <c r="E108" s="1035"/>
      <c r="F108" s="1035"/>
      <c r="G108" s="1035"/>
      <c r="H108" s="1035"/>
      <c r="I108" s="1035"/>
      <c r="J108" s="1035"/>
      <c r="K108" s="1035"/>
      <c r="L108" s="1035"/>
      <c r="M108" s="1035"/>
      <c r="N108" s="1035"/>
      <c r="O108" s="1035"/>
      <c r="P108" s="1035"/>
      <c r="Q108" s="1035"/>
      <c r="R108" s="1035"/>
      <c r="S108" s="1058"/>
    </row>
    <row r="109" spans="1:19" s="708" customFormat="1" x14ac:dyDescent="0.25">
      <c r="A109" s="1510"/>
      <c r="B109" s="2311"/>
      <c r="C109" s="1035"/>
      <c r="D109" s="1035"/>
      <c r="E109" s="1035"/>
      <c r="F109" s="1035"/>
      <c r="G109" s="1035"/>
      <c r="H109" s="1035"/>
      <c r="I109" s="1035"/>
      <c r="J109" s="1035"/>
      <c r="K109" s="1035"/>
      <c r="L109" s="1035"/>
      <c r="M109" s="1035"/>
      <c r="N109" s="1035"/>
      <c r="O109" s="1035"/>
      <c r="P109" s="1035"/>
      <c r="Q109" s="1035"/>
      <c r="R109" s="1035"/>
      <c r="S109" s="1058"/>
    </row>
    <row r="110" spans="1:19" s="708" customFormat="1" x14ac:dyDescent="0.25">
      <c r="A110" s="2321"/>
      <c r="B110" s="2311"/>
      <c r="C110" s="1035"/>
      <c r="D110" s="1035"/>
      <c r="E110" s="1035"/>
      <c r="F110" s="1035"/>
      <c r="G110" s="1035"/>
      <c r="H110" s="1035"/>
      <c r="I110" s="1035"/>
      <c r="J110" s="1035"/>
      <c r="K110" s="1035"/>
      <c r="L110" s="1035"/>
      <c r="M110" s="1035"/>
      <c r="N110" s="1035"/>
      <c r="O110" s="1035"/>
      <c r="P110" s="1035"/>
      <c r="Q110" s="1035"/>
      <c r="R110" s="1035"/>
      <c r="S110" s="1058"/>
    </row>
    <row r="111" spans="1:19" x14ac:dyDescent="0.25">
      <c r="A111" s="1154"/>
      <c r="B111" s="2302"/>
      <c r="C111" s="237"/>
      <c r="D111" s="237"/>
      <c r="E111" s="237"/>
      <c r="F111" s="237"/>
      <c r="G111" s="238"/>
      <c r="H111" s="238"/>
      <c r="I111" s="238"/>
      <c r="J111" s="238"/>
      <c r="K111" s="238"/>
      <c r="L111" s="238"/>
      <c r="M111" s="238"/>
      <c r="N111" s="238"/>
      <c r="O111" s="238"/>
      <c r="P111" s="238"/>
      <c r="Q111" s="238"/>
      <c r="R111" s="238"/>
      <c r="S111" s="360"/>
    </row>
    <row r="112" spans="1:19" x14ac:dyDescent="0.25">
      <c r="A112" s="1154"/>
      <c r="B112" s="2302"/>
      <c r="C112" s="237"/>
      <c r="D112" s="237"/>
      <c r="E112" s="237"/>
      <c r="F112" s="237"/>
      <c r="G112" s="238"/>
      <c r="H112" s="238"/>
      <c r="I112" s="238"/>
      <c r="J112" s="238"/>
      <c r="K112" s="238"/>
      <c r="L112" s="238"/>
      <c r="M112" s="238"/>
      <c r="N112" s="238"/>
      <c r="O112" s="238"/>
      <c r="P112" s="238"/>
      <c r="Q112" s="238"/>
      <c r="R112" s="238"/>
      <c r="S112" s="360"/>
    </row>
    <row r="113" spans="1:9" ht="11.25" customHeight="1" x14ac:dyDescent="0.25">
      <c r="A113" s="246"/>
      <c r="B113" s="651"/>
      <c r="C113" s="246"/>
      <c r="D113" s="246"/>
      <c r="E113" s="246"/>
      <c r="F113" s="246"/>
      <c r="G113" s="246"/>
      <c r="H113" s="246"/>
      <c r="I113" s="246"/>
    </row>
    <row r="114" spans="1:9" ht="11.25" customHeight="1" x14ac:dyDescent="0.25">
      <c r="A114" s="246"/>
      <c r="B114" s="652"/>
      <c r="C114" s="246"/>
      <c r="D114" s="246"/>
      <c r="E114" s="246"/>
      <c r="F114" s="246"/>
      <c r="G114" s="246"/>
      <c r="H114" s="246"/>
      <c r="I114" s="246"/>
    </row>
    <row r="115" spans="1:9" ht="11.25" customHeight="1" x14ac:dyDescent="0.25">
      <c r="A115" s="246"/>
      <c r="B115" s="652"/>
      <c r="C115" s="246"/>
      <c r="D115" s="246"/>
      <c r="E115" s="246"/>
      <c r="F115" s="246"/>
      <c r="G115" s="246"/>
      <c r="H115" s="246"/>
      <c r="I115" s="246"/>
    </row>
    <row r="116" spans="1:9" ht="11.25" customHeight="1" x14ac:dyDescent="0.25">
      <c r="A116" s="246"/>
      <c r="B116" s="652"/>
      <c r="C116" s="246"/>
      <c r="D116" s="246"/>
      <c r="E116" s="246"/>
      <c r="F116" s="246"/>
      <c r="G116" s="246"/>
      <c r="H116" s="246"/>
      <c r="I116" s="246"/>
    </row>
    <row r="117" spans="1:9" ht="11.25" customHeight="1" x14ac:dyDescent="0.25">
      <c r="A117" s="246"/>
      <c r="B117" s="651"/>
      <c r="C117" s="246"/>
      <c r="D117" s="246"/>
      <c r="E117" s="246"/>
      <c r="F117" s="246"/>
      <c r="G117" s="246"/>
      <c r="H117" s="246"/>
      <c r="I117" s="246"/>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sheet="1" objects="1" scenarios="1"/>
  <customSheetViews>
    <customSheetView guid="{F50C5479-5CC4-4FD7-8319-543D29E829F0}" showGridLines="0">
      <pane xSplit="2" ySplit="2" topLeftCell="C3" activePane="bottomRight" state="frozen"/>
      <selection pane="bottomRight" activeCell="E9" sqref="E9"/>
      <rowBreaks count="1" manualBreakCount="1">
        <brk id="56" max="16383" man="1"/>
      </rowBreaks>
      <pageMargins left="0" right="0" top="0.59055118110236227" bottom="0.24" header="0.51181102362204722" footer="0.23622047244094491"/>
      <printOptions horizontalCentered="1"/>
      <pageSetup paperSize="9" scale="80" orientation="landscape" r:id="rId1"/>
      <headerFooter alignWithMargins="0"/>
    </customSheetView>
  </customSheetViews>
  <phoneticPr fontId="2"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rintOptions horizontalCentered="1"/>
  <pageMargins left="0" right="0" top="0.59055118110236227" bottom="0.24" header="0.51181102362204722" footer="0.23622047244094491"/>
  <pageSetup paperSize="9" scale="80" orientation="landscape" r:id="rId2"/>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sheetPr>
  <dimension ref="A1:S146"/>
  <sheetViews>
    <sheetView showGridLines="0" zoomScaleNormal="100" workbookViewId="0">
      <pane xSplit="2" ySplit="2" topLeftCell="C3" activePane="bottomRight" state="frozen"/>
      <selection activeCell="F35" sqref="F35"/>
      <selection pane="topRight" activeCell="F35" sqref="F35"/>
      <selection pane="bottomLeft" activeCell="F35" sqref="F35"/>
      <selection pane="bottomRight" activeCell="E1" sqref="E1"/>
    </sheetView>
  </sheetViews>
  <sheetFormatPr defaultRowHeight="12.75" x14ac:dyDescent="0.25"/>
  <cols>
    <col min="1" max="1" width="30.7109375" style="149" customWidth="1"/>
    <col min="2" max="2" width="3" style="653" customWidth="1"/>
    <col min="3" max="18" width="8.140625" style="149" customWidth="1"/>
    <col min="19" max="19" width="9.85546875" style="149" customWidth="1"/>
    <col min="20" max="20" width="9.5703125" style="149" customWidth="1"/>
    <col min="21" max="21" width="9.85546875" style="149" customWidth="1"/>
    <col min="22" max="24" width="9.5703125" style="149" customWidth="1"/>
    <col min="25" max="25" width="9.85546875" style="149" customWidth="1"/>
    <col min="26" max="28" width="9.5703125" style="149" customWidth="1"/>
    <col min="29" max="30" width="9.85546875" style="149" customWidth="1"/>
    <col min="31" max="16384" width="9.140625" style="149"/>
  </cols>
  <sheetData>
    <row r="1" spans="1:18" ht="13.5" x14ac:dyDescent="0.25">
      <c r="A1" s="147" t="str">
        <f>muni&amp;" - "&amp;TableA12b</f>
        <v>MP315 Thembisile Hani - Supporting Table SA12b Property rates by category (budget year)</v>
      </c>
      <c r="B1" s="632"/>
      <c r="C1" s="147"/>
      <c r="D1" s="147"/>
      <c r="E1" s="147"/>
      <c r="F1" s="147"/>
      <c r="G1" s="147"/>
      <c r="H1" s="147"/>
      <c r="I1" s="147"/>
      <c r="J1" s="147"/>
      <c r="K1" s="147"/>
      <c r="L1" s="147"/>
      <c r="M1" s="147"/>
      <c r="N1" s="147"/>
      <c r="O1" s="147"/>
      <c r="P1" s="147"/>
      <c r="Q1" s="147"/>
      <c r="R1" s="147"/>
    </row>
    <row r="2" spans="1:18" ht="38.25" x14ac:dyDescent="0.25">
      <c r="A2" s="633" t="str">
        <f>desc</f>
        <v>Description</v>
      </c>
      <c r="B2" s="634" t="str">
        <f>head27</f>
        <v>Ref</v>
      </c>
      <c r="C2" s="518" t="s">
        <v>1066</v>
      </c>
      <c r="D2" s="518" t="s">
        <v>1067</v>
      </c>
      <c r="E2" s="518" t="s">
        <v>1068</v>
      </c>
      <c r="F2" s="518" t="s">
        <v>1069</v>
      </c>
      <c r="G2" s="518" t="s">
        <v>1449</v>
      </c>
      <c r="H2" s="518" t="s">
        <v>1531</v>
      </c>
      <c r="I2" s="518" t="s">
        <v>1450</v>
      </c>
      <c r="J2" s="518" t="s">
        <v>1070</v>
      </c>
      <c r="K2" s="518" t="s">
        <v>413</v>
      </c>
      <c r="L2" s="518" t="s">
        <v>1071</v>
      </c>
      <c r="M2" s="518" t="s">
        <v>414</v>
      </c>
      <c r="N2" s="518" t="s">
        <v>1532</v>
      </c>
      <c r="O2" s="518" t="s">
        <v>1072</v>
      </c>
      <c r="P2" s="518" t="s">
        <v>415</v>
      </c>
      <c r="Q2" s="518" t="s">
        <v>1533</v>
      </c>
      <c r="R2" s="635" t="s">
        <v>1534</v>
      </c>
    </row>
    <row r="3" spans="1:18" ht="11.25" customHeight="1" x14ac:dyDescent="0.25">
      <c r="A3" s="249" t="str">
        <f>Head9</f>
        <v>Budget Year 2015/16</v>
      </c>
      <c r="B3" s="182"/>
      <c r="C3" s="636"/>
      <c r="D3" s="636"/>
      <c r="E3" s="636"/>
      <c r="F3" s="636"/>
      <c r="G3" s="636"/>
      <c r="H3" s="636"/>
      <c r="I3" s="636"/>
      <c r="J3" s="636"/>
      <c r="K3" s="636"/>
      <c r="L3" s="636"/>
      <c r="M3" s="636"/>
      <c r="N3" s="636"/>
      <c r="O3" s="636"/>
      <c r="P3" s="636"/>
      <c r="Q3" s="636"/>
      <c r="R3" s="637"/>
    </row>
    <row r="4" spans="1:18" ht="11.25" customHeight="1" x14ac:dyDescent="0.25">
      <c r="A4" s="249" t="s">
        <v>753</v>
      </c>
      <c r="B4" s="182"/>
      <c r="C4" s="636"/>
      <c r="D4" s="636"/>
      <c r="E4" s="636"/>
      <c r="F4" s="636"/>
      <c r="G4" s="636"/>
      <c r="H4" s="636"/>
      <c r="I4" s="636"/>
      <c r="J4" s="636"/>
      <c r="K4" s="636"/>
      <c r="L4" s="636"/>
      <c r="M4" s="636"/>
      <c r="N4" s="636"/>
      <c r="O4" s="636"/>
      <c r="P4" s="636"/>
      <c r="Q4" s="636"/>
      <c r="R4" s="637"/>
    </row>
    <row r="5" spans="1:18" ht="11.25" customHeight="1" x14ac:dyDescent="0.25">
      <c r="A5" s="250" t="s">
        <v>410</v>
      </c>
      <c r="B5" s="182"/>
      <c r="C5" s="1661">
        <v>57304</v>
      </c>
      <c r="D5" s="1661"/>
      <c r="E5" s="1661">
        <v>946</v>
      </c>
      <c r="F5" s="1661"/>
      <c r="G5" s="1661">
        <v>27</v>
      </c>
      <c r="H5" s="1661">
        <v>310</v>
      </c>
      <c r="I5" s="1661">
        <v>411</v>
      </c>
      <c r="J5" s="1661"/>
      <c r="K5" s="1661">
        <v>14695</v>
      </c>
      <c r="L5" s="1661"/>
      <c r="M5" s="1661"/>
      <c r="N5" s="1661"/>
      <c r="O5" s="1661"/>
      <c r="P5" s="1661"/>
      <c r="Q5" s="1661"/>
      <c r="R5" s="1895"/>
    </row>
    <row r="6" spans="1:18" ht="11.25" customHeight="1" x14ac:dyDescent="0.25">
      <c r="A6" s="250" t="s">
        <v>1387</v>
      </c>
      <c r="B6" s="182"/>
      <c r="C6" s="1661"/>
      <c r="D6" s="1661"/>
      <c r="E6" s="1661"/>
      <c r="F6" s="1661"/>
      <c r="G6" s="1661"/>
      <c r="H6" s="1661"/>
      <c r="I6" s="1661"/>
      <c r="J6" s="1661"/>
      <c r="K6" s="1661"/>
      <c r="L6" s="1661"/>
      <c r="M6" s="1661"/>
      <c r="N6" s="1661"/>
      <c r="O6" s="1661"/>
      <c r="P6" s="1661"/>
      <c r="Q6" s="1661"/>
      <c r="R6" s="1895"/>
    </row>
    <row r="7" spans="1:18" ht="11.25" customHeight="1" x14ac:dyDescent="0.25">
      <c r="A7" s="250" t="s">
        <v>412</v>
      </c>
      <c r="B7" s="182"/>
      <c r="C7" s="1661">
        <v>0</v>
      </c>
      <c r="D7" s="1661">
        <v>0</v>
      </c>
      <c r="E7" s="1661">
        <v>0</v>
      </c>
      <c r="F7" s="1661">
        <v>0</v>
      </c>
      <c r="G7" s="1661">
        <v>0</v>
      </c>
      <c r="H7" s="1661">
        <v>0</v>
      </c>
      <c r="I7" s="1661">
        <v>0</v>
      </c>
      <c r="J7" s="1661">
        <v>0</v>
      </c>
      <c r="K7" s="1661">
        <v>0</v>
      </c>
      <c r="L7" s="1661"/>
      <c r="M7" s="1661"/>
      <c r="N7" s="1661"/>
      <c r="O7" s="1661"/>
      <c r="P7" s="1661"/>
      <c r="Q7" s="1661"/>
      <c r="R7" s="1895"/>
    </row>
    <row r="8" spans="1:18" ht="11.25" customHeight="1" x14ac:dyDescent="0.25">
      <c r="A8" s="250" t="s">
        <v>744</v>
      </c>
      <c r="B8" s="182"/>
      <c r="C8" s="1661"/>
      <c r="D8" s="1661"/>
      <c r="E8" s="1661"/>
      <c r="F8" s="1661"/>
      <c r="G8" s="1661"/>
      <c r="H8" s="1661"/>
      <c r="I8" s="1661"/>
      <c r="J8" s="1661"/>
      <c r="K8" s="1661"/>
      <c r="L8" s="1661"/>
      <c r="M8" s="1661"/>
      <c r="N8" s="1661"/>
      <c r="O8" s="1661"/>
      <c r="P8" s="1661"/>
      <c r="Q8" s="1661"/>
      <c r="R8" s="1895"/>
    </row>
    <row r="9" spans="1:18" ht="11.25" customHeight="1" x14ac:dyDescent="0.25">
      <c r="A9" s="250" t="s">
        <v>1388</v>
      </c>
      <c r="B9" s="182"/>
      <c r="C9" s="1661"/>
      <c r="D9" s="1661"/>
      <c r="E9" s="1661"/>
      <c r="F9" s="1661"/>
      <c r="G9" s="1661"/>
      <c r="H9" s="1661"/>
      <c r="I9" s="1661"/>
      <c r="J9" s="1661"/>
      <c r="K9" s="1661"/>
      <c r="L9" s="1661"/>
      <c r="M9" s="1661"/>
      <c r="N9" s="1661"/>
      <c r="O9" s="1661"/>
      <c r="P9" s="1661"/>
      <c r="Q9" s="1661"/>
      <c r="R9" s="1895"/>
    </row>
    <row r="10" spans="1:18" ht="11.25" customHeight="1" x14ac:dyDescent="0.25">
      <c r="A10" s="250" t="s">
        <v>745</v>
      </c>
      <c r="B10" s="182"/>
      <c r="C10" s="1661"/>
      <c r="D10" s="1661"/>
      <c r="E10" s="1661"/>
      <c r="F10" s="1661"/>
      <c r="G10" s="1661"/>
      <c r="H10" s="1661"/>
      <c r="I10" s="1661"/>
      <c r="J10" s="1661"/>
      <c r="K10" s="1661"/>
      <c r="L10" s="1661"/>
      <c r="M10" s="1661"/>
      <c r="N10" s="1661"/>
      <c r="O10" s="1661"/>
      <c r="P10" s="1661"/>
      <c r="Q10" s="1661"/>
      <c r="R10" s="1895"/>
    </row>
    <row r="11" spans="1:18" ht="11.25" customHeight="1" x14ac:dyDescent="0.25">
      <c r="A11" s="250" t="s">
        <v>367</v>
      </c>
      <c r="B11" s="182"/>
      <c r="C11" s="1661">
        <v>0</v>
      </c>
      <c r="D11" s="1661">
        <v>0</v>
      </c>
      <c r="E11" s="1661">
        <v>0</v>
      </c>
      <c r="F11" s="1661">
        <v>0</v>
      </c>
      <c r="G11" s="1661">
        <v>0</v>
      </c>
      <c r="H11" s="1661">
        <v>0</v>
      </c>
      <c r="I11" s="1661">
        <v>0</v>
      </c>
      <c r="J11" s="1661">
        <v>0</v>
      </c>
      <c r="K11" s="1661">
        <v>0</v>
      </c>
      <c r="L11" s="1661"/>
      <c r="M11" s="1661"/>
      <c r="N11" s="1661"/>
      <c r="O11" s="1661"/>
      <c r="P11" s="1661"/>
      <c r="Q11" s="1661"/>
      <c r="R11" s="1895"/>
    </row>
    <row r="12" spans="1:18" ht="11.25" customHeight="1" x14ac:dyDescent="0.25">
      <c r="A12" s="250" t="s">
        <v>368</v>
      </c>
      <c r="B12" s="182"/>
      <c r="C12" s="1661">
        <v>0</v>
      </c>
      <c r="D12" s="1661">
        <v>0</v>
      </c>
      <c r="E12" s="1661">
        <v>0</v>
      </c>
      <c r="F12" s="1661">
        <v>0</v>
      </c>
      <c r="G12" s="1661">
        <v>0</v>
      </c>
      <c r="H12" s="1661">
        <v>0</v>
      </c>
      <c r="I12" s="1661">
        <v>0</v>
      </c>
      <c r="J12" s="1661">
        <v>0</v>
      </c>
      <c r="K12" s="1661">
        <v>0</v>
      </c>
      <c r="L12" s="1661"/>
      <c r="M12" s="1661"/>
      <c r="N12" s="1661"/>
      <c r="O12" s="1661"/>
      <c r="P12" s="1661"/>
      <c r="Q12" s="1661"/>
      <c r="R12" s="1895"/>
    </row>
    <row r="13" spans="1:18" ht="11.25" customHeight="1" x14ac:dyDescent="0.25">
      <c r="A13" s="250" t="s">
        <v>369</v>
      </c>
      <c r="B13" s="182"/>
      <c r="C13" s="1661">
        <v>0</v>
      </c>
      <c r="D13" s="1661">
        <v>0</v>
      </c>
      <c r="E13" s="1661">
        <v>0</v>
      </c>
      <c r="F13" s="1661">
        <v>0</v>
      </c>
      <c r="G13" s="1661">
        <v>0</v>
      </c>
      <c r="H13" s="1661">
        <v>0</v>
      </c>
      <c r="I13" s="1661">
        <v>0</v>
      </c>
      <c r="J13" s="1661">
        <v>0</v>
      </c>
      <c r="K13" s="1661">
        <v>0</v>
      </c>
      <c r="L13" s="1661"/>
      <c r="M13" s="1661"/>
      <c r="N13" s="1661"/>
      <c r="O13" s="1661"/>
      <c r="P13" s="1661"/>
      <c r="Q13" s="1661"/>
      <c r="R13" s="1895"/>
    </row>
    <row r="14" spans="1:18" ht="11.25" customHeight="1" x14ac:dyDescent="0.25">
      <c r="A14" s="250" t="s">
        <v>755</v>
      </c>
      <c r="B14" s="182">
        <v>5</v>
      </c>
      <c r="C14" s="1661">
        <v>0</v>
      </c>
      <c r="D14" s="1661">
        <v>0</v>
      </c>
      <c r="E14" s="1661">
        <v>0</v>
      </c>
      <c r="F14" s="1661">
        <v>0</v>
      </c>
      <c r="G14" s="1661">
        <v>0</v>
      </c>
      <c r="H14" s="1661">
        <v>0</v>
      </c>
      <c r="I14" s="1661">
        <v>0</v>
      </c>
      <c r="J14" s="1661">
        <v>0</v>
      </c>
      <c r="K14" s="1661">
        <v>0</v>
      </c>
      <c r="L14" s="1661"/>
      <c r="M14" s="1661"/>
      <c r="N14" s="1661"/>
      <c r="O14" s="1661"/>
      <c r="P14" s="1661"/>
      <c r="Q14" s="1661"/>
      <c r="R14" s="1895"/>
    </row>
    <row r="15" spans="1:18" ht="11.25" customHeight="1" x14ac:dyDescent="0.25">
      <c r="A15" s="250" t="s">
        <v>743</v>
      </c>
      <c r="B15" s="182">
        <v>5</v>
      </c>
      <c r="C15" s="1661"/>
      <c r="D15" s="1661"/>
      <c r="E15" s="1661"/>
      <c r="F15" s="1661"/>
      <c r="G15" s="1661"/>
      <c r="H15" s="1661"/>
      <c r="I15" s="1661"/>
      <c r="J15" s="1661"/>
      <c r="K15" s="1661"/>
      <c r="L15" s="1661"/>
      <c r="M15" s="1661"/>
      <c r="N15" s="1661"/>
      <c r="O15" s="1661"/>
      <c r="P15" s="1661"/>
      <c r="Q15" s="1661"/>
      <c r="R15" s="1895"/>
    </row>
    <row r="16" spans="1:18" ht="11.25" customHeight="1" x14ac:dyDescent="0.25">
      <c r="A16" s="254" t="s">
        <v>1389</v>
      </c>
      <c r="B16" s="350"/>
      <c r="C16" s="1656"/>
      <c r="D16" s="1656"/>
      <c r="E16" s="1656"/>
      <c r="F16" s="1656"/>
      <c r="G16" s="1656"/>
      <c r="H16" s="1656"/>
      <c r="I16" s="1671"/>
      <c r="J16" s="1656"/>
      <c r="K16" s="1656"/>
      <c r="L16" s="1656"/>
      <c r="M16" s="1656"/>
      <c r="N16" s="1656"/>
      <c r="O16" s="1656"/>
      <c r="P16" s="1656"/>
      <c r="Q16" s="1656"/>
      <c r="R16" s="1896"/>
    </row>
    <row r="17" spans="1:18" ht="11.25" customHeight="1" x14ac:dyDescent="0.25">
      <c r="A17" s="250" t="s">
        <v>1668</v>
      </c>
      <c r="B17" s="182"/>
      <c r="C17" s="1827">
        <v>5</v>
      </c>
      <c r="D17" s="1827">
        <v>5</v>
      </c>
      <c r="E17" s="1827">
        <v>5</v>
      </c>
      <c r="F17" s="1827">
        <v>5</v>
      </c>
      <c r="G17" s="1827">
        <v>5</v>
      </c>
      <c r="H17" s="1827">
        <v>5</v>
      </c>
      <c r="I17" s="1827">
        <v>5</v>
      </c>
      <c r="J17" s="1827">
        <v>5</v>
      </c>
      <c r="K17" s="1827">
        <v>5</v>
      </c>
      <c r="L17" s="1827"/>
      <c r="M17" s="1827"/>
      <c r="N17" s="1827"/>
      <c r="O17" s="1827"/>
      <c r="P17" s="1827"/>
      <c r="Q17" s="1827"/>
      <c r="R17" s="1828"/>
    </row>
    <row r="18" spans="1:18" ht="11.25" customHeight="1" x14ac:dyDescent="0.25">
      <c r="A18" s="250" t="s">
        <v>1669</v>
      </c>
      <c r="B18" s="182"/>
      <c r="C18" s="1827"/>
      <c r="D18" s="1897"/>
      <c r="E18" s="1897"/>
      <c r="F18" s="1897"/>
      <c r="G18" s="1897"/>
      <c r="H18" s="1897"/>
      <c r="I18" s="1897"/>
      <c r="J18" s="1897"/>
      <c r="K18" s="1897"/>
      <c r="L18" s="1897"/>
      <c r="M18" s="1897"/>
      <c r="N18" s="1897"/>
      <c r="O18" s="1897"/>
      <c r="P18" s="1897"/>
      <c r="Q18" s="1897"/>
      <c r="R18" s="1898"/>
    </row>
    <row r="19" spans="1:18" ht="11.25" customHeight="1" x14ac:dyDescent="0.25">
      <c r="A19" s="250" t="s">
        <v>1670</v>
      </c>
      <c r="B19" s="182"/>
      <c r="C19" s="1827" t="s">
        <v>161</v>
      </c>
      <c r="D19" s="1827" t="s">
        <v>161</v>
      </c>
      <c r="E19" s="1827" t="s">
        <v>161</v>
      </c>
      <c r="F19" s="1827" t="s">
        <v>161</v>
      </c>
      <c r="G19" s="1827" t="s">
        <v>161</v>
      </c>
      <c r="H19" s="1827" t="s">
        <v>161</v>
      </c>
      <c r="I19" s="1827" t="s">
        <v>161</v>
      </c>
      <c r="J19" s="1827" t="s">
        <v>161</v>
      </c>
      <c r="K19" s="1827" t="s">
        <v>161</v>
      </c>
      <c r="L19" s="1827"/>
      <c r="M19" s="1827"/>
      <c r="N19" s="1827"/>
      <c r="O19" s="1827"/>
      <c r="P19" s="1827"/>
      <c r="Q19" s="1827"/>
      <c r="R19" s="1828"/>
    </row>
    <row r="20" spans="1:18" ht="11.25" customHeight="1" x14ac:dyDescent="0.25">
      <c r="A20" s="250" t="s">
        <v>1671</v>
      </c>
      <c r="B20" s="182"/>
      <c r="C20" s="1827" t="s">
        <v>165</v>
      </c>
      <c r="D20" s="1827" t="s">
        <v>165</v>
      </c>
      <c r="E20" s="1827" t="s">
        <v>165</v>
      </c>
      <c r="F20" s="1827" t="s">
        <v>165</v>
      </c>
      <c r="G20" s="1827" t="s">
        <v>165</v>
      </c>
      <c r="H20" s="1827" t="s">
        <v>165</v>
      </c>
      <c r="I20" s="1827" t="s">
        <v>165</v>
      </c>
      <c r="J20" s="1827" t="s">
        <v>165</v>
      </c>
      <c r="K20" s="1827" t="s">
        <v>165</v>
      </c>
      <c r="L20" s="1827"/>
      <c r="M20" s="1827"/>
      <c r="N20" s="1827"/>
      <c r="O20" s="1827"/>
      <c r="P20" s="1827"/>
      <c r="Q20" s="1827"/>
      <c r="R20" s="1828"/>
    </row>
    <row r="21" spans="1:18" ht="11.25" customHeight="1" x14ac:dyDescent="0.25">
      <c r="A21" s="250" t="s">
        <v>164</v>
      </c>
      <c r="B21" s="182"/>
      <c r="C21" s="1827"/>
      <c r="D21" s="1827"/>
      <c r="E21" s="1827"/>
      <c r="F21" s="1827"/>
      <c r="G21" s="1827"/>
      <c r="H21" s="1827"/>
      <c r="I21" s="1827"/>
      <c r="J21" s="1827"/>
      <c r="K21" s="1827"/>
      <c r="L21" s="1827"/>
      <c r="M21" s="1827"/>
      <c r="N21" s="1827"/>
      <c r="O21" s="1827"/>
      <c r="P21" s="1827"/>
      <c r="Q21" s="1827"/>
      <c r="R21" s="1828"/>
    </row>
    <row r="22" spans="1:18" ht="11.25" customHeight="1" x14ac:dyDescent="0.25">
      <c r="A22" s="250" t="s">
        <v>673</v>
      </c>
      <c r="B22" s="638"/>
      <c r="C22" s="1827"/>
      <c r="D22" s="1827"/>
      <c r="E22" s="1827"/>
      <c r="F22" s="1827"/>
      <c r="G22" s="1827"/>
      <c r="H22" s="1827"/>
      <c r="I22" s="1827"/>
      <c r="J22" s="1827"/>
      <c r="K22" s="1827"/>
      <c r="L22" s="1827"/>
      <c r="M22" s="1827"/>
      <c r="N22" s="1827"/>
      <c r="O22" s="1827"/>
      <c r="P22" s="1827"/>
      <c r="Q22" s="1827"/>
      <c r="R22" s="1828"/>
    </row>
    <row r="23" spans="1:18" ht="11.25" customHeight="1" x14ac:dyDescent="0.25">
      <c r="A23" s="250" t="s">
        <v>674</v>
      </c>
      <c r="B23" s="638"/>
      <c r="C23" s="1827" t="s">
        <v>425</v>
      </c>
      <c r="D23" s="1827"/>
      <c r="E23" s="1827"/>
      <c r="F23" s="1827"/>
      <c r="G23" s="1827"/>
      <c r="H23" s="1827"/>
      <c r="I23" s="1827"/>
      <c r="J23" s="1827"/>
      <c r="K23" s="1827"/>
      <c r="L23" s="1827"/>
      <c r="M23" s="1827"/>
      <c r="N23" s="1827"/>
      <c r="O23" s="1827"/>
      <c r="P23" s="1827"/>
      <c r="Q23" s="1827"/>
      <c r="R23" s="1828"/>
    </row>
    <row r="24" spans="1:18" ht="11.25" customHeight="1" x14ac:dyDescent="0.25">
      <c r="A24" s="250" t="s">
        <v>312</v>
      </c>
      <c r="B24" s="638"/>
      <c r="C24" s="1827"/>
      <c r="D24" s="1827"/>
      <c r="E24" s="1827"/>
      <c r="F24" s="1827"/>
      <c r="G24" s="1827"/>
      <c r="H24" s="1827"/>
      <c r="I24" s="1827"/>
      <c r="J24" s="1827"/>
      <c r="K24" s="1827"/>
      <c r="L24" s="1827"/>
      <c r="M24" s="1827"/>
      <c r="N24" s="1827"/>
      <c r="O24" s="1827"/>
      <c r="P24" s="1827"/>
      <c r="Q24" s="1827"/>
      <c r="R24" s="1828"/>
    </row>
    <row r="25" spans="1:18" ht="11.25" customHeight="1" x14ac:dyDescent="0.25">
      <c r="A25" s="249" t="s">
        <v>1528</v>
      </c>
      <c r="B25" s="182"/>
      <c r="C25" s="598"/>
      <c r="D25" s="598"/>
      <c r="E25" s="598"/>
      <c r="F25" s="598"/>
      <c r="G25" s="598"/>
      <c r="H25" s="598"/>
      <c r="I25" s="598"/>
      <c r="J25" s="598"/>
      <c r="K25" s="598"/>
      <c r="L25" s="598"/>
      <c r="M25" s="598"/>
      <c r="N25" s="598"/>
      <c r="O25" s="598"/>
      <c r="P25" s="598"/>
      <c r="Q25" s="598"/>
      <c r="R25" s="601"/>
    </row>
    <row r="26" spans="1:18" ht="11.25" customHeight="1" x14ac:dyDescent="0.25">
      <c r="A26" s="250" t="s">
        <v>521</v>
      </c>
      <c r="B26" s="182"/>
      <c r="C26" s="1849"/>
      <c r="D26" s="1849"/>
      <c r="E26" s="1849"/>
      <c r="F26" s="1849"/>
      <c r="G26" s="1849"/>
      <c r="H26" s="1849"/>
      <c r="I26" s="1849"/>
      <c r="J26" s="1849"/>
      <c r="K26" s="1849"/>
      <c r="L26" s="1849"/>
      <c r="M26" s="1849"/>
      <c r="N26" s="1849"/>
      <c r="O26" s="1849"/>
      <c r="P26" s="1849"/>
      <c r="Q26" s="1849"/>
      <c r="R26" s="1853"/>
    </row>
    <row r="27" spans="1:18" ht="11.25" customHeight="1" x14ac:dyDescent="0.25">
      <c r="A27" s="250" t="s">
        <v>522</v>
      </c>
      <c r="B27" s="182"/>
      <c r="C27" s="1849"/>
      <c r="D27" s="1849"/>
      <c r="E27" s="1849"/>
      <c r="F27" s="1849"/>
      <c r="G27" s="1849"/>
      <c r="H27" s="1849"/>
      <c r="I27" s="1849"/>
      <c r="J27" s="1849"/>
      <c r="K27" s="1849"/>
      <c r="L27" s="1849"/>
      <c r="M27" s="1849"/>
      <c r="N27" s="1849"/>
      <c r="O27" s="1849"/>
      <c r="P27" s="1849"/>
      <c r="Q27" s="1849"/>
      <c r="R27" s="1853"/>
    </row>
    <row r="28" spans="1:18" ht="11.25" customHeight="1" x14ac:dyDescent="0.25">
      <c r="A28" s="250" t="s">
        <v>523</v>
      </c>
      <c r="B28" s="182"/>
      <c r="C28" s="1849"/>
      <c r="D28" s="1849"/>
      <c r="E28" s="1849"/>
      <c r="F28" s="1849"/>
      <c r="G28" s="1849"/>
      <c r="H28" s="1849"/>
      <c r="I28" s="1849"/>
      <c r="J28" s="1849"/>
      <c r="K28" s="1849"/>
      <c r="L28" s="1849"/>
      <c r="M28" s="1849"/>
      <c r="N28" s="1849"/>
      <c r="O28" s="1849"/>
      <c r="P28" s="1849"/>
      <c r="Q28" s="1849"/>
      <c r="R28" s="1853"/>
    </row>
    <row r="29" spans="1:18" ht="11.25" customHeight="1" x14ac:dyDescent="0.25">
      <c r="A29" s="250" t="s">
        <v>524</v>
      </c>
      <c r="B29" s="182"/>
      <c r="C29" s="1849"/>
      <c r="D29" s="1849"/>
      <c r="E29" s="1849"/>
      <c r="F29" s="1849"/>
      <c r="G29" s="1849"/>
      <c r="H29" s="1849"/>
      <c r="I29" s="1849"/>
      <c r="J29" s="1849"/>
      <c r="K29" s="1849"/>
      <c r="L29" s="1849"/>
      <c r="M29" s="1849"/>
      <c r="N29" s="1849"/>
      <c r="O29" s="1849"/>
      <c r="P29" s="1849"/>
      <c r="Q29" s="1849"/>
      <c r="R29" s="1853"/>
    </row>
    <row r="30" spans="1:18" ht="11.25" customHeight="1" x14ac:dyDescent="0.25">
      <c r="A30" s="250" t="s">
        <v>525</v>
      </c>
      <c r="B30" s="182"/>
      <c r="C30" s="1849"/>
      <c r="D30" s="1849"/>
      <c r="E30" s="1849"/>
      <c r="F30" s="1849"/>
      <c r="G30" s="1849"/>
      <c r="H30" s="1849"/>
      <c r="I30" s="1849"/>
      <c r="J30" s="1849"/>
      <c r="K30" s="1849"/>
      <c r="L30" s="1849"/>
      <c r="M30" s="1849"/>
      <c r="N30" s="1849"/>
      <c r="O30" s="1849"/>
      <c r="P30" s="1849"/>
      <c r="Q30" s="1849"/>
      <c r="R30" s="1853"/>
    </row>
    <row r="31" spans="1:18" ht="11.25" customHeight="1" x14ac:dyDescent="0.25">
      <c r="A31" s="250" t="s">
        <v>526</v>
      </c>
      <c r="B31" s="638">
        <v>2</v>
      </c>
      <c r="C31" s="1849"/>
      <c r="D31" s="1849"/>
      <c r="E31" s="1849"/>
      <c r="F31" s="1849"/>
      <c r="G31" s="1849"/>
      <c r="H31" s="1849"/>
      <c r="I31" s="1849"/>
      <c r="J31" s="1849"/>
      <c r="K31" s="1849"/>
      <c r="L31" s="1849"/>
      <c r="M31" s="1849"/>
      <c r="N31" s="1849"/>
      <c r="O31" s="1849"/>
      <c r="P31" s="1849"/>
      <c r="Q31" s="1849"/>
      <c r="R31" s="1853"/>
    </row>
    <row r="32" spans="1:18" ht="11.25" customHeight="1" x14ac:dyDescent="0.25">
      <c r="A32" s="265" t="s">
        <v>1529</v>
      </c>
      <c r="B32" s="182"/>
      <c r="C32" s="639"/>
      <c r="D32" s="639"/>
      <c r="E32" s="639"/>
      <c r="F32" s="639"/>
      <c r="G32" s="639"/>
      <c r="H32" s="639"/>
      <c r="I32" s="639"/>
      <c r="J32" s="639"/>
      <c r="K32" s="639"/>
      <c r="L32" s="639"/>
      <c r="M32" s="639"/>
      <c r="N32" s="639"/>
      <c r="O32" s="639"/>
      <c r="P32" s="639"/>
      <c r="Q32" s="639"/>
      <c r="R32" s="640"/>
    </row>
    <row r="33" spans="1:19" ht="15.75" customHeight="1" x14ac:dyDescent="0.25">
      <c r="A33" s="250" t="s">
        <v>1443</v>
      </c>
      <c r="B33" s="182">
        <v>6</v>
      </c>
      <c r="C33" s="1855"/>
      <c r="D33" s="1855"/>
      <c r="E33" s="1855"/>
      <c r="F33" s="1855"/>
      <c r="G33" s="1855"/>
      <c r="H33" s="1855"/>
      <c r="I33" s="1855"/>
      <c r="J33" s="1855"/>
      <c r="K33" s="1855"/>
      <c r="L33" s="1855"/>
      <c r="M33" s="1855"/>
      <c r="N33" s="1855"/>
      <c r="O33" s="1855"/>
      <c r="P33" s="1855"/>
      <c r="Q33" s="1855"/>
      <c r="R33" s="1858"/>
    </row>
    <row r="34" spans="1:19" ht="11.25" customHeight="1" x14ac:dyDescent="0.25">
      <c r="A34" s="250" t="s">
        <v>1444</v>
      </c>
      <c r="B34" s="182">
        <v>6</v>
      </c>
      <c r="C34" s="1855"/>
      <c r="D34" s="1855"/>
      <c r="E34" s="1855"/>
      <c r="F34" s="1855"/>
      <c r="G34" s="1855"/>
      <c r="H34" s="1855"/>
      <c r="I34" s="1855"/>
      <c r="J34" s="1855"/>
      <c r="K34" s="1855"/>
      <c r="L34" s="1855"/>
      <c r="M34" s="1855"/>
      <c r="N34" s="1855"/>
      <c r="O34" s="1855"/>
      <c r="P34" s="1855"/>
      <c r="Q34" s="1855"/>
      <c r="R34" s="1858"/>
    </row>
    <row r="35" spans="1:19" ht="11.25" customHeight="1" x14ac:dyDescent="0.25">
      <c r="A35" s="250" t="s">
        <v>1445</v>
      </c>
      <c r="B35" s="182">
        <v>6</v>
      </c>
      <c r="C35" s="1855"/>
      <c r="D35" s="1855"/>
      <c r="E35" s="1855"/>
      <c r="F35" s="1855"/>
      <c r="G35" s="1855"/>
      <c r="H35" s="1855"/>
      <c r="I35" s="1855"/>
      <c r="J35" s="1855"/>
      <c r="K35" s="1855"/>
      <c r="L35" s="1855"/>
      <c r="M35" s="1855"/>
      <c r="N35" s="1855"/>
      <c r="O35" s="1855"/>
      <c r="P35" s="1855"/>
      <c r="Q35" s="1855"/>
      <c r="R35" s="1858"/>
    </row>
    <row r="36" spans="1:19" ht="11.25" customHeight="1" x14ac:dyDescent="0.25">
      <c r="A36" s="250" t="s">
        <v>1446</v>
      </c>
      <c r="B36" s="1530">
        <v>6</v>
      </c>
      <c r="C36" s="1860"/>
      <c r="D36" s="1860"/>
      <c r="E36" s="1860"/>
      <c r="F36" s="1860"/>
      <c r="G36" s="1860"/>
      <c r="H36" s="1860"/>
      <c r="I36" s="1860"/>
      <c r="J36" s="1860"/>
      <c r="K36" s="1860"/>
      <c r="L36" s="1860"/>
      <c r="M36" s="1860"/>
      <c r="N36" s="1860"/>
      <c r="O36" s="1860"/>
      <c r="P36" s="1860"/>
      <c r="Q36" s="1860"/>
      <c r="R36" s="1899"/>
    </row>
    <row r="37" spans="1:19" ht="15.75" customHeight="1" x14ac:dyDescent="0.25">
      <c r="A37" s="641" t="s">
        <v>1530</v>
      </c>
      <c r="B37" s="642"/>
      <c r="C37" s="643"/>
      <c r="D37" s="643"/>
      <c r="E37" s="643"/>
      <c r="F37" s="643"/>
      <c r="G37" s="643"/>
      <c r="H37" s="643"/>
      <c r="I37" s="643"/>
      <c r="J37" s="643"/>
      <c r="K37" s="643"/>
      <c r="L37" s="643"/>
      <c r="M37" s="643"/>
      <c r="N37" s="643"/>
      <c r="O37" s="643"/>
      <c r="P37" s="643"/>
      <c r="Q37" s="643"/>
      <c r="R37" s="644"/>
    </row>
    <row r="38" spans="1:19" ht="11.25" customHeight="1" x14ac:dyDescent="0.25">
      <c r="A38" s="254" t="s">
        <v>311</v>
      </c>
      <c r="B38" s="645">
        <v>3</v>
      </c>
      <c r="C38" s="1900"/>
      <c r="D38" s="1900"/>
      <c r="E38" s="1900"/>
      <c r="F38" s="1900"/>
      <c r="G38" s="1900"/>
      <c r="H38" s="1900"/>
      <c r="I38" s="1900"/>
      <c r="J38" s="1900"/>
      <c r="K38" s="1900"/>
      <c r="L38" s="1900"/>
      <c r="M38" s="1900"/>
      <c r="N38" s="1900"/>
      <c r="O38" s="1900"/>
      <c r="P38" s="1900"/>
      <c r="Q38" s="1900"/>
      <c r="R38" s="1901"/>
      <c r="S38" s="369"/>
    </row>
    <row r="39" spans="1:19" ht="11.25" customHeight="1" x14ac:dyDescent="0.25">
      <c r="A39" s="254" t="s">
        <v>1447</v>
      </c>
      <c r="B39" s="645"/>
      <c r="C39" s="1606"/>
      <c r="D39" s="1606"/>
      <c r="E39" s="1606"/>
      <c r="F39" s="1606"/>
      <c r="G39" s="1606"/>
      <c r="H39" s="1606"/>
      <c r="I39" s="1606"/>
      <c r="J39" s="1606"/>
      <c r="K39" s="1606"/>
      <c r="L39" s="1606"/>
      <c r="M39" s="1606"/>
      <c r="N39" s="1606"/>
      <c r="O39" s="1606"/>
      <c r="P39" s="1606"/>
      <c r="Q39" s="1606"/>
      <c r="R39" s="1609"/>
      <c r="S39" s="646">
        <f>SUM(C39:R39)</f>
        <v>0</v>
      </c>
    </row>
    <row r="40" spans="1:19" ht="11.25" customHeight="1" x14ac:dyDescent="0.25">
      <c r="A40" s="254" t="s">
        <v>1448</v>
      </c>
      <c r="B40" s="645"/>
      <c r="C40" s="1606"/>
      <c r="D40" s="1606"/>
      <c r="E40" s="1606"/>
      <c r="F40" s="1606"/>
      <c r="G40" s="1606"/>
      <c r="H40" s="1606"/>
      <c r="I40" s="1606"/>
      <c r="J40" s="1606"/>
      <c r="K40" s="1606"/>
      <c r="L40" s="1606"/>
      <c r="M40" s="1606"/>
      <c r="N40" s="1606"/>
      <c r="O40" s="1606"/>
      <c r="P40" s="1606"/>
      <c r="Q40" s="1606"/>
      <c r="R40" s="1609"/>
      <c r="S40" s="646">
        <f>SUM(C40:R40)</f>
        <v>0</v>
      </c>
    </row>
    <row r="41" spans="1:19" ht="11.25" customHeight="1" x14ac:dyDescent="0.25">
      <c r="A41" s="254" t="s">
        <v>1569</v>
      </c>
      <c r="B41" s="645">
        <v>4</v>
      </c>
      <c r="C41" s="1874">
        <v>0.4</v>
      </c>
      <c r="D41" s="1874"/>
      <c r="E41" s="1874">
        <v>0.6</v>
      </c>
      <c r="F41" s="1874"/>
      <c r="G41" s="1874"/>
      <c r="H41" s="1874"/>
      <c r="I41" s="1874"/>
      <c r="J41" s="1874"/>
      <c r="K41" s="1874"/>
      <c r="L41" s="1874"/>
      <c r="M41" s="1874"/>
      <c r="N41" s="1874"/>
      <c r="O41" s="1874"/>
      <c r="P41" s="1874"/>
      <c r="Q41" s="1874"/>
      <c r="R41" s="1877"/>
    </row>
    <row r="42" spans="1:19" ht="11.25" customHeight="1" x14ac:dyDescent="0.25">
      <c r="A42" s="254" t="s">
        <v>1487</v>
      </c>
      <c r="B42" s="645"/>
      <c r="C42" s="1631"/>
      <c r="D42" s="1631"/>
      <c r="E42" s="1631"/>
      <c r="F42" s="1631"/>
      <c r="G42" s="1631"/>
      <c r="H42" s="1631"/>
      <c r="I42" s="1631"/>
      <c r="J42" s="1631"/>
      <c r="K42" s="1631"/>
      <c r="L42" s="1631"/>
      <c r="M42" s="1631"/>
      <c r="N42" s="1631"/>
      <c r="O42" s="1631"/>
      <c r="P42" s="1631"/>
      <c r="Q42" s="1631"/>
      <c r="R42" s="1640"/>
      <c r="S42" s="369"/>
    </row>
    <row r="43" spans="1:19" ht="15.75" customHeight="1" x14ac:dyDescent="0.25">
      <c r="A43" s="254" t="s">
        <v>417</v>
      </c>
      <c r="B43" s="645"/>
      <c r="C43" s="1902"/>
      <c r="D43" s="1902"/>
      <c r="E43" s="1902"/>
      <c r="F43" s="1902"/>
      <c r="G43" s="1902"/>
      <c r="H43" s="1902"/>
      <c r="I43" s="1902"/>
      <c r="J43" s="1902"/>
      <c r="K43" s="1902"/>
      <c r="L43" s="1902"/>
      <c r="M43" s="1902"/>
      <c r="N43" s="1902"/>
      <c r="O43" s="1902"/>
      <c r="P43" s="1902"/>
      <c r="Q43" s="1902"/>
      <c r="R43" s="1903"/>
      <c r="S43" s="369"/>
    </row>
    <row r="44" spans="1:19" ht="11.25" customHeight="1" x14ac:dyDescent="0.25">
      <c r="A44" s="254" t="s">
        <v>517</v>
      </c>
      <c r="B44" s="645"/>
      <c r="C44" s="1631"/>
      <c r="D44" s="1631"/>
      <c r="E44" s="1631"/>
      <c r="F44" s="1631"/>
      <c r="G44" s="1631"/>
      <c r="H44" s="1631"/>
      <c r="I44" s="1631"/>
      <c r="J44" s="1631"/>
      <c r="K44" s="1631"/>
      <c r="L44" s="1631"/>
      <c r="M44" s="1631"/>
      <c r="N44" s="1631"/>
      <c r="O44" s="1631"/>
      <c r="P44" s="1631"/>
      <c r="Q44" s="1631"/>
      <c r="R44" s="1640"/>
      <c r="S44" s="369"/>
    </row>
    <row r="45" spans="1:19" ht="11.25" customHeight="1" x14ac:dyDescent="0.25">
      <c r="A45" s="254" t="s">
        <v>518</v>
      </c>
      <c r="B45" s="645"/>
      <c r="C45" s="1631"/>
      <c r="D45" s="1631"/>
      <c r="E45" s="1631"/>
      <c r="F45" s="1631"/>
      <c r="G45" s="1631"/>
      <c r="H45" s="1631"/>
      <c r="I45" s="1631"/>
      <c r="J45" s="1631"/>
      <c r="K45" s="1631"/>
      <c r="L45" s="1631"/>
      <c r="M45" s="1631"/>
      <c r="N45" s="1631"/>
      <c r="O45" s="1631"/>
      <c r="P45" s="1631"/>
      <c r="Q45" s="1631"/>
      <c r="R45" s="1640"/>
      <c r="S45" s="369"/>
    </row>
    <row r="46" spans="1:19" ht="11.25" customHeight="1" x14ac:dyDescent="0.25">
      <c r="A46" s="254" t="s">
        <v>519</v>
      </c>
      <c r="B46" s="645"/>
      <c r="C46" s="1631"/>
      <c r="D46" s="1631"/>
      <c r="E46" s="1631"/>
      <c r="F46" s="1631"/>
      <c r="G46" s="1631"/>
      <c r="H46" s="1631"/>
      <c r="I46" s="1631"/>
      <c r="J46" s="1631"/>
      <c r="K46" s="1631"/>
      <c r="L46" s="1631"/>
      <c r="M46" s="1631"/>
      <c r="N46" s="1631"/>
      <c r="O46" s="1631"/>
      <c r="P46" s="1631"/>
      <c r="Q46" s="1631"/>
      <c r="R46" s="1640"/>
      <c r="S46" s="369"/>
    </row>
    <row r="47" spans="1:19" ht="11.25" customHeight="1" x14ac:dyDescent="0.25">
      <c r="A47" s="254" t="s">
        <v>1486</v>
      </c>
      <c r="B47" s="645"/>
      <c r="C47" s="1631"/>
      <c r="D47" s="1631"/>
      <c r="E47" s="1631"/>
      <c r="F47" s="1631"/>
      <c r="G47" s="1631"/>
      <c r="H47" s="1631"/>
      <c r="I47" s="1631"/>
      <c r="J47" s="1631"/>
      <c r="K47" s="1631"/>
      <c r="L47" s="1631"/>
      <c r="M47" s="1631"/>
      <c r="N47" s="1631"/>
      <c r="O47" s="1631"/>
      <c r="P47" s="1631"/>
      <c r="Q47" s="1631"/>
      <c r="R47" s="1640"/>
      <c r="S47" s="369"/>
    </row>
    <row r="48" spans="1:19" ht="11.25" customHeight="1" x14ac:dyDescent="0.25">
      <c r="A48" s="649" t="s">
        <v>658</v>
      </c>
      <c r="B48" s="638"/>
      <c r="C48" s="647"/>
      <c r="D48" s="647"/>
      <c r="E48" s="647"/>
      <c r="F48" s="647"/>
      <c r="G48" s="647"/>
      <c r="H48" s="647"/>
      <c r="I48" s="647"/>
      <c r="J48" s="647"/>
      <c r="K48" s="647"/>
      <c r="L48" s="647"/>
      <c r="M48" s="647"/>
      <c r="N48" s="647"/>
      <c r="O48" s="647"/>
      <c r="P48" s="647"/>
      <c r="Q48" s="647"/>
      <c r="R48" s="648"/>
      <c r="S48" s="369"/>
    </row>
    <row r="49" spans="1:19" ht="5.0999999999999996" customHeight="1" x14ac:dyDescent="0.25">
      <c r="A49" s="650"/>
      <c r="B49" s="397"/>
      <c r="C49" s="628"/>
      <c r="D49" s="628"/>
      <c r="E49" s="628"/>
      <c r="F49" s="628"/>
      <c r="G49" s="628"/>
      <c r="H49" s="628"/>
      <c r="I49" s="628"/>
      <c r="J49" s="628"/>
      <c r="K49" s="628"/>
      <c r="L49" s="628"/>
      <c r="M49" s="628"/>
      <c r="N49" s="628"/>
      <c r="O49" s="628"/>
      <c r="P49" s="628"/>
      <c r="Q49" s="628"/>
      <c r="R49" s="629"/>
    </row>
    <row r="50" spans="1:19" s="708" customFormat="1" x14ac:dyDescent="0.25">
      <c r="A50" s="1257" t="str">
        <f>head27a</f>
        <v>References</v>
      </c>
      <c r="B50" s="1071"/>
      <c r="C50" s="1037"/>
      <c r="D50" s="1037"/>
      <c r="E50" s="1037"/>
      <c r="F50" s="1037"/>
      <c r="G50" s="1037"/>
      <c r="H50" s="1037"/>
      <c r="I50" s="1037"/>
      <c r="J50" s="1037"/>
      <c r="K50" s="1037"/>
      <c r="L50" s="1037"/>
      <c r="M50" s="1037"/>
      <c r="N50" s="1037"/>
      <c r="O50" s="1037"/>
      <c r="P50" s="1037"/>
      <c r="Q50" s="1037"/>
      <c r="R50" s="1037"/>
    </row>
    <row r="51" spans="1:19" s="708" customFormat="1" x14ac:dyDescent="0.25">
      <c r="A51" s="1412" t="s">
        <v>529</v>
      </c>
      <c r="B51" s="1071"/>
      <c r="C51" s="1037"/>
      <c r="D51" s="1037"/>
      <c r="E51" s="1037"/>
      <c r="F51" s="1037"/>
      <c r="G51" s="1037"/>
      <c r="H51" s="1037"/>
      <c r="I51" s="1037"/>
      <c r="J51" s="1037"/>
      <c r="K51" s="1037"/>
      <c r="L51" s="1037"/>
      <c r="M51" s="1037"/>
      <c r="N51" s="1037"/>
      <c r="O51" s="1037"/>
      <c r="P51" s="1037"/>
      <c r="Q51" s="1037"/>
      <c r="R51" s="1037"/>
    </row>
    <row r="52" spans="1:19" s="708" customFormat="1" x14ac:dyDescent="0.25">
      <c r="A52" s="1412" t="s">
        <v>530</v>
      </c>
      <c r="B52" s="1071"/>
      <c r="C52" s="1037"/>
      <c r="D52" s="1037"/>
      <c r="E52" s="1037"/>
      <c r="F52" s="1037"/>
      <c r="G52" s="1037"/>
      <c r="H52" s="1037"/>
      <c r="I52" s="1037"/>
      <c r="J52" s="1037"/>
      <c r="K52" s="1037"/>
      <c r="L52" s="1037"/>
      <c r="M52" s="1037"/>
      <c r="N52" s="1037"/>
      <c r="O52" s="1037"/>
      <c r="P52" s="1037"/>
      <c r="Q52" s="1037"/>
      <c r="R52" s="1037"/>
    </row>
    <row r="53" spans="1:19" s="708" customFormat="1" x14ac:dyDescent="0.25">
      <c r="A53" s="1258" t="s">
        <v>2279</v>
      </c>
      <c r="B53" s="1071"/>
      <c r="C53" s="1037"/>
      <c r="D53" s="1037"/>
      <c r="E53" s="1037"/>
      <c r="F53" s="1037"/>
      <c r="G53" s="1037"/>
      <c r="H53" s="1037"/>
      <c r="I53" s="1037"/>
      <c r="J53" s="1037"/>
      <c r="K53" s="1037"/>
      <c r="L53" s="1037"/>
      <c r="M53" s="1037"/>
      <c r="N53" s="1037"/>
      <c r="O53" s="1037"/>
      <c r="P53" s="1037"/>
      <c r="Q53" s="1037"/>
      <c r="R53" s="1037"/>
    </row>
    <row r="54" spans="1:19" s="708" customFormat="1" x14ac:dyDescent="0.25">
      <c r="A54" s="1412" t="s">
        <v>532</v>
      </c>
      <c r="B54" s="1071"/>
      <c r="C54" s="1037"/>
      <c r="D54" s="1037"/>
      <c r="E54" s="1037"/>
      <c r="F54" s="1037"/>
      <c r="G54" s="1037"/>
      <c r="H54" s="1037"/>
      <c r="I54" s="1037"/>
      <c r="J54" s="1037"/>
      <c r="K54" s="1037"/>
      <c r="L54" s="1037"/>
      <c r="M54" s="1037"/>
      <c r="N54" s="1037"/>
      <c r="O54" s="1037"/>
      <c r="P54" s="1037"/>
      <c r="Q54" s="1037"/>
      <c r="R54" s="1037"/>
    </row>
    <row r="55" spans="1:19" s="708" customFormat="1" x14ac:dyDescent="0.25">
      <c r="A55" s="1190" t="s">
        <v>1591</v>
      </c>
      <c r="B55" s="1071"/>
      <c r="C55" s="1037"/>
      <c r="D55" s="1037"/>
      <c r="E55" s="1037"/>
      <c r="F55" s="1037"/>
      <c r="G55" s="1037"/>
      <c r="H55" s="1037"/>
      <c r="I55" s="1037"/>
      <c r="J55" s="1037"/>
      <c r="K55" s="1037"/>
      <c r="L55" s="1037"/>
      <c r="M55" s="1037"/>
      <c r="N55" s="1037"/>
      <c r="O55" s="1037"/>
      <c r="P55" s="1037"/>
      <c r="Q55" s="1037"/>
      <c r="R55" s="1037"/>
    </row>
    <row r="56" spans="1:19" s="708" customFormat="1" x14ac:dyDescent="0.25">
      <c r="A56" s="1190" t="s">
        <v>1593</v>
      </c>
      <c r="B56" s="1071"/>
      <c r="C56" s="1037"/>
      <c r="D56" s="1037"/>
      <c r="E56" s="1037"/>
      <c r="F56" s="1037"/>
      <c r="G56" s="1037"/>
      <c r="H56" s="1037"/>
      <c r="I56" s="1037"/>
      <c r="J56" s="1037"/>
      <c r="K56" s="1037"/>
      <c r="L56" s="1037"/>
      <c r="M56" s="1037"/>
      <c r="N56" s="1037"/>
      <c r="O56" s="1037"/>
      <c r="P56" s="1037"/>
      <c r="Q56" s="1037"/>
      <c r="R56" s="1037"/>
    </row>
    <row r="57" spans="1:19" ht="15.75" customHeight="1" x14ac:dyDescent="0.25">
      <c r="A57" s="2297"/>
      <c r="B57" s="2297"/>
      <c r="C57" s="930"/>
      <c r="D57" s="930"/>
      <c r="E57" s="930"/>
      <c r="F57" s="930"/>
      <c r="G57" s="930"/>
      <c r="H57" s="930"/>
      <c r="I57" s="930"/>
      <c r="J57" s="930"/>
      <c r="K57" s="930"/>
      <c r="L57" s="930"/>
      <c r="M57" s="930"/>
      <c r="N57" s="930"/>
      <c r="O57" s="930"/>
      <c r="P57" s="930"/>
      <c r="Q57" s="930"/>
      <c r="R57" s="930"/>
      <c r="S57" s="360"/>
    </row>
    <row r="58" spans="1:19" ht="38.25" customHeight="1" x14ac:dyDescent="0.25">
      <c r="A58" s="2298"/>
      <c r="B58" s="2299"/>
      <c r="C58" s="2300"/>
      <c r="D58" s="2300"/>
      <c r="E58" s="2300"/>
      <c r="F58" s="2300"/>
      <c r="G58" s="2300"/>
      <c r="H58" s="2300"/>
      <c r="I58" s="2300"/>
      <c r="J58" s="2300"/>
      <c r="K58" s="2300"/>
      <c r="L58" s="2300"/>
      <c r="M58" s="2300"/>
      <c r="N58" s="2300"/>
      <c r="O58" s="2300"/>
      <c r="P58" s="2300"/>
      <c r="Q58" s="2300"/>
      <c r="R58" s="2300"/>
      <c r="S58" s="360"/>
    </row>
    <row r="59" spans="1:19" ht="11.25" customHeight="1" x14ac:dyDescent="0.25">
      <c r="A59" s="2308"/>
      <c r="B59" s="2302"/>
      <c r="C59" s="238"/>
      <c r="D59" s="238"/>
      <c r="E59" s="238"/>
      <c r="F59" s="238"/>
      <c r="G59" s="238"/>
      <c r="H59" s="238"/>
      <c r="I59" s="238"/>
      <c r="J59" s="238"/>
      <c r="K59" s="238"/>
      <c r="L59" s="238"/>
      <c r="M59" s="238"/>
      <c r="N59" s="238"/>
      <c r="O59" s="238"/>
      <c r="P59" s="238"/>
      <c r="Q59" s="238"/>
      <c r="R59" s="238"/>
      <c r="S59" s="360"/>
    </row>
    <row r="60" spans="1:19" ht="11.25" customHeight="1" x14ac:dyDescent="0.25">
      <c r="A60" s="2308"/>
      <c r="B60" s="2302"/>
      <c r="C60" s="238"/>
      <c r="D60" s="238"/>
      <c r="E60" s="238"/>
      <c r="F60" s="238"/>
      <c r="G60" s="238"/>
      <c r="H60" s="238"/>
      <c r="I60" s="238"/>
      <c r="J60" s="238"/>
      <c r="K60" s="238"/>
      <c r="L60" s="238"/>
      <c r="M60" s="238"/>
      <c r="N60" s="238"/>
      <c r="O60" s="238"/>
      <c r="P60" s="238"/>
      <c r="Q60" s="238"/>
      <c r="R60" s="238"/>
      <c r="S60" s="360"/>
    </row>
    <row r="61" spans="1:19" ht="11.25" customHeight="1" x14ac:dyDescent="0.25">
      <c r="A61" s="2301"/>
      <c r="B61" s="2302"/>
      <c r="C61" s="2091"/>
      <c r="D61" s="2091"/>
      <c r="E61" s="2091"/>
      <c r="F61" s="2091"/>
      <c r="G61" s="2091"/>
      <c r="H61" s="2091"/>
      <c r="I61" s="2091"/>
      <c r="J61" s="2091"/>
      <c r="K61" s="2091"/>
      <c r="L61" s="2091"/>
      <c r="M61" s="2091"/>
      <c r="N61" s="2091"/>
      <c r="O61" s="2091"/>
      <c r="P61" s="2091"/>
      <c r="Q61" s="2091"/>
      <c r="R61" s="2091"/>
      <c r="S61" s="360"/>
    </row>
    <row r="62" spans="1:19" ht="11.25" customHeight="1" x14ac:dyDescent="0.25">
      <c r="A62" s="2301"/>
      <c r="B62" s="2302"/>
      <c r="C62" s="2091"/>
      <c r="D62" s="2091"/>
      <c r="E62" s="2091"/>
      <c r="F62" s="2091"/>
      <c r="G62" s="2091"/>
      <c r="H62" s="2091"/>
      <c r="I62" s="2091"/>
      <c r="J62" s="2091"/>
      <c r="K62" s="2091"/>
      <c r="L62" s="2091"/>
      <c r="M62" s="2091"/>
      <c r="N62" s="2091"/>
      <c r="O62" s="2091"/>
      <c r="P62" s="2091"/>
      <c r="Q62" s="2091"/>
      <c r="R62" s="2091"/>
      <c r="S62" s="360"/>
    </row>
    <row r="63" spans="1:19" ht="11.25" customHeight="1" x14ac:dyDescent="0.25">
      <c r="A63" s="2301"/>
      <c r="B63" s="2302"/>
      <c r="C63" s="2091"/>
      <c r="D63" s="2091"/>
      <c r="E63" s="2091"/>
      <c r="F63" s="2091"/>
      <c r="G63" s="2091"/>
      <c r="H63" s="2091"/>
      <c r="I63" s="2091"/>
      <c r="J63" s="2091"/>
      <c r="K63" s="2091"/>
      <c r="L63" s="2091"/>
      <c r="M63" s="2091"/>
      <c r="N63" s="2091"/>
      <c r="O63" s="2091"/>
      <c r="P63" s="2091"/>
      <c r="Q63" s="2091"/>
      <c r="R63" s="2091"/>
      <c r="S63" s="360"/>
    </row>
    <row r="64" spans="1:19" ht="11.25" customHeight="1" x14ac:dyDescent="0.25">
      <c r="A64" s="2301"/>
      <c r="B64" s="2302"/>
      <c r="C64" s="2091"/>
      <c r="D64" s="2091"/>
      <c r="E64" s="2091"/>
      <c r="F64" s="2091"/>
      <c r="G64" s="2091"/>
      <c r="H64" s="2091"/>
      <c r="I64" s="2091"/>
      <c r="J64" s="2091"/>
      <c r="K64" s="2091"/>
      <c r="L64" s="2091"/>
      <c r="M64" s="2091"/>
      <c r="N64" s="2091"/>
      <c r="O64" s="2091"/>
      <c r="P64" s="2091"/>
      <c r="Q64" s="2091"/>
      <c r="R64" s="2091"/>
      <c r="S64" s="360"/>
    </row>
    <row r="65" spans="1:19" ht="11.25" customHeight="1" x14ac:dyDescent="0.25">
      <c r="A65" s="2301"/>
      <c r="B65" s="2302"/>
      <c r="C65" s="2091"/>
      <c r="D65" s="2091"/>
      <c r="E65" s="2091"/>
      <c r="F65" s="2091"/>
      <c r="G65" s="2091"/>
      <c r="H65" s="2091"/>
      <c r="I65" s="2091"/>
      <c r="J65" s="2091"/>
      <c r="K65" s="2091"/>
      <c r="L65" s="2091"/>
      <c r="M65" s="2091"/>
      <c r="N65" s="2091"/>
      <c r="O65" s="2091"/>
      <c r="P65" s="2091"/>
      <c r="Q65" s="2091"/>
      <c r="R65" s="2091"/>
      <c r="S65" s="360"/>
    </row>
    <row r="66" spans="1:19" ht="11.25" customHeight="1" x14ac:dyDescent="0.25">
      <c r="A66" s="2301"/>
      <c r="B66" s="2302"/>
      <c r="C66" s="2091"/>
      <c r="D66" s="2091"/>
      <c r="E66" s="2091"/>
      <c r="F66" s="2091"/>
      <c r="G66" s="2091"/>
      <c r="H66" s="2091"/>
      <c r="I66" s="2091"/>
      <c r="J66" s="2091"/>
      <c r="K66" s="2091"/>
      <c r="L66" s="2091"/>
      <c r="M66" s="2091"/>
      <c r="N66" s="2091"/>
      <c r="O66" s="2091"/>
      <c r="P66" s="2091"/>
      <c r="Q66" s="2091"/>
      <c r="R66" s="2091"/>
      <c r="S66" s="360"/>
    </row>
    <row r="67" spans="1:19" ht="11.25" customHeight="1" x14ac:dyDescent="0.25">
      <c r="A67" s="2301"/>
      <c r="B67" s="2302"/>
      <c r="C67" s="2091"/>
      <c r="D67" s="2091"/>
      <c r="E67" s="2091"/>
      <c r="F67" s="2091"/>
      <c r="G67" s="2091"/>
      <c r="H67" s="2091"/>
      <c r="I67" s="2091"/>
      <c r="J67" s="2091"/>
      <c r="K67" s="2091"/>
      <c r="L67" s="2091"/>
      <c r="M67" s="2091"/>
      <c r="N67" s="2091"/>
      <c r="O67" s="2091"/>
      <c r="P67" s="2091"/>
      <c r="Q67" s="2091"/>
      <c r="R67" s="2091"/>
      <c r="S67" s="360"/>
    </row>
    <row r="68" spans="1:19" ht="11.25" customHeight="1" x14ac:dyDescent="0.25">
      <c r="A68" s="2301"/>
      <c r="B68" s="2302"/>
      <c r="C68" s="2091"/>
      <c r="D68" s="2091"/>
      <c r="E68" s="2091"/>
      <c r="F68" s="2091"/>
      <c r="G68" s="2091"/>
      <c r="H68" s="2091"/>
      <c r="I68" s="2091"/>
      <c r="J68" s="2091"/>
      <c r="K68" s="2091"/>
      <c r="L68" s="2091"/>
      <c r="M68" s="2091"/>
      <c r="N68" s="2091"/>
      <c r="O68" s="2091"/>
      <c r="P68" s="2091"/>
      <c r="Q68" s="2091"/>
      <c r="R68" s="2091"/>
      <c r="S68" s="360"/>
    </row>
    <row r="69" spans="1:19" ht="11.25" customHeight="1" x14ac:dyDescent="0.25">
      <c r="A69" s="2301"/>
      <c r="B69" s="2302"/>
      <c r="C69" s="2091"/>
      <c r="D69" s="2091"/>
      <c r="E69" s="2091"/>
      <c r="F69" s="2091"/>
      <c r="G69" s="2091"/>
      <c r="H69" s="2091"/>
      <c r="I69" s="2091"/>
      <c r="J69" s="2091"/>
      <c r="K69" s="2091"/>
      <c r="L69" s="2091"/>
      <c r="M69" s="2091"/>
      <c r="N69" s="2091"/>
      <c r="O69" s="2091"/>
      <c r="P69" s="2091"/>
      <c r="Q69" s="2091"/>
      <c r="R69" s="2091"/>
      <c r="S69" s="360"/>
    </row>
    <row r="70" spans="1:19" ht="11.25" customHeight="1" x14ac:dyDescent="0.25">
      <c r="A70" s="2301"/>
      <c r="B70" s="2302"/>
      <c r="C70" s="2091"/>
      <c r="D70" s="2091"/>
      <c r="E70" s="2091"/>
      <c r="F70" s="2091"/>
      <c r="G70" s="2091"/>
      <c r="H70" s="2091"/>
      <c r="I70" s="2091"/>
      <c r="J70" s="2091"/>
      <c r="K70" s="2091"/>
      <c r="L70" s="2091"/>
      <c r="M70" s="2091"/>
      <c r="N70" s="2091"/>
      <c r="O70" s="2091"/>
      <c r="P70" s="2091"/>
      <c r="Q70" s="2091"/>
      <c r="R70" s="2091"/>
      <c r="S70" s="360"/>
    </row>
    <row r="71" spans="1:19" ht="11.25" customHeight="1" x14ac:dyDescent="0.25">
      <c r="A71" s="2301"/>
      <c r="B71" s="2302"/>
      <c r="C71" s="2091"/>
      <c r="D71" s="2091"/>
      <c r="E71" s="2091"/>
      <c r="F71" s="2091"/>
      <c r="G71" s="2091"/>
      <c r="H71" s="2091"/>
      <c r="I71" s="2091"/>
      <c r="J71" s="2091"/>
      <c r="K71" s="2091"/>
      <c r="L71" s="2091"/>
      <c r="M71" s="2091"/>
      <c r="N71" s="2091"/>
      <c r="O71" s="2091"/>
      <c r="P71" s="2091"/>
      <c r="Q71" s="2091"/>
      <c r="R71" s="2091"/>
      <c r="S71" s="360"/>
    </row>
    <row r="72" spans="1:19" ht="11.25" customHeight="1" x14ac:dyDescent="0.25">
      <c r="A72" s="2301"/>
      <c r="B72" s="2302"/>
      <c r="C72" s="2309"/>
      <c r="D72" s="2309"/>
      <c r="E72" s="2309"/>
      <c r="F72" s="2309"/>
      <c r="G72" s="2309"/>
      <c r="H72" s="2309"/>
      <c r="I72" s="2310"/>
      <c r="J72" s="2309"/>
      <c r="K72" s="2309"/>
      <c r="L72" s="2309"/>
      <c r="M72" s="2309"/>
      <c r="N72" s="2309"/>
      <c r="O72" s="2309"/>
      <c r="P72" s="2309"/>
      <c r="Q72" s="2309"/>
      <c r="R72" s="2309"/>
      <c r="S72" s="360"/>
    </row>
    <row r="73" spans="1:19" ht="11.25" customHeight="1" x14ac:dyDescent="0.25">
      <c r="A73" s="2301"/>
      <c r="B73" s="2302"/>
      <c r="C73" s="2311"/>
      <c r="D73" s="2311"/>
      <c r="E73" s="2311"/>
      <c r="F73" s="2311"/>
      <c r="G73" s="2311"/>
      <c r="H73" s="2311"/>
      <c r="I73" s="2311"/>
      <c r="J73" s="2311"/>
      <c r="K73" s="2311"/>
      <c r="L73" s="2311"/>
      <c r="M73" s="2311"/>
      <c r="N73" s="2311"/>
      <c r="O73" s="2311"/>
      <c r="P73" s="2311"/>
      <c r="Q73" s="2311"/>
      <c r="R73" s="2311"/>
      <c r="S73" s="360"/>
    </row>
    <row r="74" spans="1:19" ht="11.25" customHeight="1" x14ac:dyDescent="0.25">
      <c r="A74" s="2301"/>
      <c r="B74" s="2302"/>
      <c r="C74" s="2312"/>
      <c r="D74" s="2312"/>
      <c r="E74" s="2312"/>
      <c r="F74" s="2312"/>
      <c r="G74" s="2312"/>
      <c r="H74" s="2312"/>
      <c r="I74" s="2312"/>
      <c r="J74" s="2312"/>
      <c r="K74" s="2312"/>
      <c r="L74" s="2312"/>
      <c r="M74" s="2312"/>
      <c r="N74" s="2312"/>
      <c r="O74" s="2312"/>
      <c r="P74" s="2312"/>
      <c r="Q74" s="2312"/>
      <c r="R74" s="2312"/>
      <c r="S74" s="360"/>
    </row>
    <row r="75" spans="1:19" ht="11.25" customHeight="1" x14ac:dyDescent="0.25">
      <c r="A75" s="2301"/>
      <c r="B75" s="2302"/>
      <c r="C75" s="2311"/>
      <c r="D75" s="2311"/>
      <c r="E75" s="2311"/>
      <c r="F75" s="2311"/>
      <c r="G75" s="2311"/>
      <c r="H75" s="2311"/>
      <c r="I75" s="2311"/>
      <c r="J75" s="2311"/>
      <c r="K75" s="2311"/>
      <c r="L75" s="2311"/>
      <c r="M75" s="2311"/>
      <c r="N75" s="2311"/>
      <c r="O75" s="2311"/>
      <c r="P75" s="2311"/>
      <c r="Q75" s="2311"/>
      <c r="R75" s="2311"/>
      <c r="S75" s="360"/>
    </row>
    <row r="76" spans="1:19" ht="11.25" customHeight="1" x14ac:dyDescent="0.25">
      <c r="A76" s="2301"/>
      <c r="B76" s="2302"/>
      <c r="C76" s="2311"/>
      <c r="D76" s="2311"/>
      <c r="E76" s="2311"/>
      <c r="F76" s="2311"/>
      <c r="G76" s="2311"/>
      <c r="H76" s="2311"/>
      <c r="I76" s="2311"/>
      <c r="J76" s="2311"/>
      <c r="K76" s="2311"/>
      <c r="L76" s="2311"/>
      <c r="M76" s="2311"/>
      <c r="N76" s="2311"/>
      <c r="O76" s="2311"/>
      <c r="P76" s="2311"/>
      <c r="Q76" s="2311"/>
      <c r="R76" s="2311"/>
      <c r="S76" s="360"/>
    </row>
    <row r="77" spans="1:19" ht="11.25" customHeight="1" x14ac:dyDescent="0.25">
      <c r="A77" s="2301"/>
      <c r="B77" s="2302"/>
      <c r="C77" s="2311"/>
      <c r="D77" s="2311"/>
      <c r="E77" s="2311"/>
      <c r="F77" s="2311"/>
      <c r="G77" s="2311"/>
      <c r="H77" s="2311"/>
      <c r="I77" s="2311"/>
      <c r="J77" s="2311"/>
      <c r="K77" s="2311"/>
      <c r="L77" s="2311"/>
      <c r="M77" s="2311"/>
      <c r="N77" s="2311"/>
      <c r="O77" s="2311"/>
      <c r="P77" s="2311"/>
      <c r="Q77" s="2311"/>
      <c r="R77" s="2311"/>
      <c r="S77" s="360"/>
    </row>
    <row r="78" spans="1:19" ht="11.25" customHeight="1" x14ac:dyDescent="0.25">
      <c r="A78" s="2301"/>
      <c r="B78" s="2305"/>
      <c r="C78" s="2311"/>
      <c r="D78" s="2311"/>
      <c r="E78" s="2311"/>
      <c r="F78" s="2311"/>
      <c r="G78" s="2311"/>
      <c r="H78" s="2311"/>
      <c r="I78" s="2311"/>
      <c r="J78" s="2311"/>
      <c r="K78" s="2311"/>
      <c r="L78" s="2311"/>
      <c r="M78" s="2311"/>
      <c r="N78" s="2311"/>
      <c r="O78" s="2311"/>
      <c r="P78" s="2311"/>
      <c r="Q78" s="2311"/>
      <c r="R78" s="2311"/>
      <c r="S78" s="360"/>
    </row>
    <row r="79" spans="1:19" ht="11.25" customHeight="1" x14ac:dyDescent="0.25">
      <c r="A79" s="2301"/>
      <c r="B79" s="2305"/>
      <c r="C79" s="2311"/>
      <c r="D79" s="2311"/>
      <c r="E79" s="2311"/>
      <c r="F79" s="2311"/>
      <c r="G79" s="2311"/>
      <c r="H79" s="2311"/>
      <c r="I79" s="2311"/>
      <c r="J79" s="2311"/>
      <c r="K79" s="2311"/>
      <c r="L79" s="2311"/>
      <c r="M79" s="2311"/>
      <c r="N79" s="2311"/>
      <c r="O79" s="2311"/>
      <c r="P79" s="2311"/>
      <c r="Q79" s="2311"/>
      <c r="R79" s="2311"/>
      <c r="S79" s="360"/>
    </row>
    <row r="80" spans="1:19" ht="11.25" customHeight="1" x14ac:dyDescent="0.25">
      <c r="A80" s="2301"/>
      <c r="B80" s="2305"/>
      <c r="C80" s="2311"/>
      <c r="D80" s="2311"/>
      <c r="E80" s="2311"/>
      <c r="F80" s="2311"/>
      <c r="G80" s="2311"/>
      <c r="H80" s="2311"/>
      <c r="I80" s="2311"/>
      <c r="J80" s="2311"/>
      <c r="K80" s="2311"/>
      <c r="L80" s="2311"/>
      <c r="M80" s="2311"/>
      <c r="N80" s="2311"/>
      <c r="O80" s="2311"/>
      <c r="P80" s="2311"/>
      <c r="Q80" s="2311"/>
      <c r="R80" s="2311"/>
      <c r="S80" s="360"/>
    </row>
    <row r="81" spans="1:19" ht="11.25" customHeight="1" x14ac:dyDescent="0.25">
      <c r="A81" s="2308"/>
      <c r="B81" s="2302"/>
      <c r="C81" s="602"/>
      <c r="D81" s="602"/>
      <c r="E81" s="602"/>
      <c r="F81" s="602"/>
      <c r="G81" s="602"/>
      <c r="H81" s="602"/>
      <c r="I81" s="602"/>
      <c r="J81" s="602"/>
      <c r="K81" s="602"/>
      <c r="L81" s="602"/>
      <c r="M81" s="602"/>
      <c r="N81" s="602"/>
      <c r="O81" s="602"/>
      <c r="P81" s="602"/>
      <c r="Q81" s="602"/>
      <c r="R81" s="602"/>
      <c r="S81" s="360"/>
    </row>
    <row r="82" spans="1:19" ht="11.25" customHeight="1" x14ac:dyDescent="0.25">
      <c r="A82" s="2301"/>
      <c r="B82" s="2302"/>
      <c r="C82" s="2313"/>
      <c r="D82" s="2313"/>
      <c r="E82" s="2313"/>
      <c r="F82" s="2313"/>
      <c r="G82" s="2313"/>
      <c r="H82" s="2313"/>
      <c r="I82" s="2313"/>
      <c r="J82" s="2313"/>
      <c r="K82" s="2313"/>
      <c r="L82" s="2313"/>
      <c r="M82" s="2313"/>
      <c r="N82" s="2313"/>
      <c r="O82" s="2313"/>
      <c r="P82" s="2313"/>
      <c r="Q82" s="2313"/>
      <c r="R82" s="2313"/>
      <c r="S82" s="360"/>
    </row>
    <row r="83" spans="1:19" ht="11.25" customHeight="1" x14ac:dyDescent="0.25">
      <c r="A83" s="2301"/>
      <c r="B83" s="2302"/>
      <c r="C83" s="2313"/>
      <c r="D83" s="2313"/>
      <c r="E83" s="2313"/>
      <c r="F83" s="2313"/>
      <c r="G83" s="2313"/>
      <c r="H83" s="2313"/>
      <c r="I83" s="2313"/>
      <c r="J83" s="2313"/>
      <c r="K83" s="2313"/>
      <c r="L83" s="2313"/>
      <c r="M83" s="2313"/>
      <c r="N83" s="2313"/>
      <c r="O83" s="2313"/>
      <c r="P83" s="2313"/>
      <c r="Q83" s="2313"/>
      <c r="R83" s="2313"/>
      <c r="S83" s="360"/>
    </row>
    <row r="84" spans="1:19" ht="11.25" customHeight="1" x14ac:dyDescent="0.25">
      <c r="A84" s="2301"/>
      <c r="B84" s="2302"/>
      <c r="C84" s="2313"/>
      <c r="D84" s="2313"/>
      <c r="E84" s="2313"/>
      <c r="F84" s="2313"/>
      <c r="G84" s="2313"/>
      <c r="H84" s="2313"/>
      <c r="I84" s="2313"/>
      <c r="J84" s="2313"/>
      <c r="K84" s="2313"/>
      <c r="L84" s="2313"/>
      <c r="M84" s="2313"/>
      <c r="N84" s="2313"/>
      <c r="O84" s="2313"/>
      <c r="P84" s="2313"/>
      <c r="Q84" s="2313"/>
      <c r="R84" s="2313"/>
      <c r="S84" s="360"/>
    </row>
    <row r="85" spans="1:19" ht="11.25" customHeight="1" x14ac:dyDescent="0.25">
      <c r="A85" s="2301"/>
      <c r="B85" s="2302"/>
      <c r="C85" s="2313"/>
      <c r="D85" s="2313"/>
      <c r="E85" s="2313"/>
      <c r="F85" s="2313"/>
      <c r="G85" s="2313"/>
      <c r="H85" s="2313"/>
      <c r="I85" s="2313"/>
      <c r="J85" s="2313"/>
      <c r="K85" s="2313"/>
      <c r="L85" s="2313"/>
      <c r="M85" s="2313"/>
      <c r="N85" s="2313"/>
      <c r="O85" s="2313"/>
      <c r="P85" s="2313"/>
      <c r="Q85" s="2313"/>
      <c r="R85" s="2313"/>
      <c r="S85" s="360"/>
    </row>
    <row r="86" spans="1:19" ht="11.25" customHeight="1" x14ac:dyDescent="0.25">
      <c r="A86" s="2301"/>
      <c r="B86" s="2302"/>
      <c r="C86" s="2313"/>
      <c r="D86" s="2313"/>
      <c r="E86" s="2313"/>
      <c r="F86" s="2313"/>
      <c r="G86" s="2313"/>
      <c r="H86" s="2313"/>
      <c r="I86" s="2313"/>
      <c r="J86" s="2313"/>
      <c r="K86" s="2313"/>
      <c r="L86" s="2313"/>
      <c r="M86" s="2313"/>
      <c r="N86" s="2313"/>
      <c r="O86" s="2313"/>
      <c r="P86" s="2313"/>
      <c r="Q86" s="2313"/>
      <c r="R86" s="2313"/>
      <c r="S86" s="360"/>
    </row>
    <row r="87" spans="1:19" ht="11.25" customHeight="1" x14ac:dyDescent="0.25">
      <c r="A87" s="2301"/>
      <c r="B87" s="2305"/>
      <c r="C87" s="2313"/>
      <c r="D87" s="2313"/>
      <c r="E87" s="2313"/>
      <c r="F87" s="2313"/>
      <c r="G87" s="2313"/>
      <c r="H87" s="2313"/>
      <c r="I87" s="2313"/>
      <c r="J87" s="2313"/>
      <c r="K87" s="2313"/>
      <c r="L87" s="2313"/>
      <c r="M87" s="2313"/>
      <c r="N87" s="2313"/>
      <c r="O87" s="2313"/>
      <c r="P87" s="2313"/>
      <c r="Q87" s="2313"/>
      <c r="R87" s="2313"/>
      <c r="S87" s="360"/>
    </row>
    <row r="88" spans="1:19" ht="11.25" customHeight="1" x14ac:dyDescent="0.25">
      <c r="A88" s="2306"/>
      <c r="B88" s="2302"/>
      <c r="C88" s="2303"/>
      <c r="D88" s="2303"/>
      <c r="E88" s="2303"/>
      <c r="F88" s="2303"/>
      <c r="G88" s="2303"/>
      <c r="H88" s="2303"/>
      <c r="I88" s="2303"/>
      <c r="J88" s="2303"/>
      <c r="K88" s="2303"/>
      <c r="L88" s="2303"/>
      <c r="M88" s="2303"/>
      <c r="N88" s="2303"/>
      <c r="O88" s="2303"/>
      <c r="P88" s="2303"/>
      <c r="Q88" s="2303"/>
      <c r="R88" s="2303"/>
      <c r="S88" s="360"/>
    </row>
    <row r="89" spans="1:19" ht="11.25" customHeight="1" x14ac:dyDescent="0.25">
      <c r="A89" s="2301"/>
      <c r="B89" s="2302"/>
      <c r="C89" s="2314"/>
      <c r="D89" s="2314"/>
      <c r="E89" s="2314"/>
      <c r="F89" s="2314"/>
      <c r="G89" s="2314"/>
      <c r="H89" s="2314"/>
      <c r="I89" s="2314"/>
      <c r="J89" s="2314"/>
      <c r="K89" s="2314"/>
      <c r="L89" s="2314"/>
      <c r="M89" s="2314"/>
      <c r="N89" s="2314"/>
      <c r="O89" s="2314"/>
      <c r="P89" s="2314"/>
      <c r="Q89" s="2314"/>
      <c r="R89" s="2314"/>
      <c r="S89" s="360"/>
    </row>
    <row r="90" spans="1:19" ht="11.25" customHeight="1" x14ac:dyDescent="0.25">
      <c r="A90" s="2301"/>
      <c r="B90" s="2302"/>
      <c r="C90" s="2314"/>
      <c r="D90" s="2314"/>
      <c r="E90" s="2314"/>
      <c r="F90" s="2314"/>
      <c r="G90" s="2314"/>
      <c r="H90" s="2314"/>
      <c r="I90" s="2314"/>
      <c r="J90" s="2314"/>
      <c r="K90" s="2314"/>
      <c r="L90" s="2314"/>
      <c r="M90" s="2314"/>
      <c r="N90" s="2314"/>
      <c r="O90" s="2314"/>
      <c r="P90" s="2314"/>
      <c r="Q90" s="2314"/>
      <c r="R90" s="2314"/>
      <c r="S90" s="360"/>
    </row>
    <row r="91" spans="1:19" ht="11.25" customHeight="1" x14ac:dyDescent="0.25">
      <c r="A91" s="2301"/>
      <c r="B91" s="2302"/>
      <c r="C91" s="2314"/>
      <c r="D91" s="2314"/>
      <c r="E91" s="2314"/>
      <c r="F91" s="2314"/>
      <c r="G91" s="2314"/>
      <c r="H91" s="2314"/>
      <c r="I91" s="2314"/>
      <c r="J91" s="2314"/>
      <c r="K91" s="2314"/>
      <c r="L91" s="2314"/>
      <c r="M91" s="2314"/>
      <c r="N91" s="2314"/>
      <c r="O91" s="2314"/>
      <c r="P91" s="2314"/>
      <c r="Q91" s="2314"/>
      <c r="R91" s="2314"/>
      <c r="S91" s="360"/>
    </row>
    <row r="92" spans="1:19" ht="11.25" customHeight="1" x14ac:dyDescent="0.25">
      <c r="A92" s="2301"/>
      <c r="B92" s="2315"/>
      <c r="C92" s="2316"/>
      <c r="D92" s="2316"/>
      <c r="E92" s="2316"/>
      <c r="F92" s="2316"/>
      <c r="G92" s="2316"/>
      <c r="H92" s="2316"/>
      <c r="I92" s="2316"/>
      <c r="J92" s="2316"/>
      <c r="K92" s="2316"/>
      <c r="L92" s="2316"/>
      <c r="M92" s="2316"/>
      <c r="N92" s="2316"/>
      <c r="O92" s="2316"/>
      <c r="P92" s="2316"/>
      <c r="Q92" s="2316"/>
      <c r="R92" s="2316"/>
      <c r="S92" s="360"/>
    </row>
    <row r="93" spans="1:19" ht="11.25" customHeight="1" x14ac:dyDescent="0.25">
      <c r="A93" s="2308"/>
      <c r="B93" s="2315"/>
      <c r="C93" s="2304"/>
      <c r="D93" s="2304"/>
      <c r="E93" s="2304"/>
      <c r="F93" s="2304"/>
      <c r="G93" s="2304"/>
      <c r="H93" s="2304"/>
      <c r="I93" s="2304"/>
      <c r="J93" s="2304"/>
      <c r="K93" s="2304"/>
      <c r="L93" s="2304"/>
      <c r="M93" s="2304"/>
      <c r="N93" s="2304"/>
      <c r="O93" s="2304"/>
      <c r="P93" s="2304"/>
      <c r="Q93" s="2304"/>
      <c r="R93" s="2304"/>
      <c r="S93" s="360"/>
    </row>
    <row r="94" spans="1:19" ht="11.25" customHeight="1" x14ac:dyDescent="0.25">
      <c r="A94" s="2301"/>
      <c r="B94" s="2305"/>
      <c r="C94" s="2317"/>
      <c r="D94" s="2317"/>
      <c r="E94" s="2317"/>
      <c r="F94" s="2317"/>
      <c r="G94" s="2317"/>
      <c r="H94" s="2317"/>
      <c r="I94" s="2317"/>
      <c r="J94" s="2317"/>
      <c r="K94" s="2317"/>
      <c r="L94" s="2317"/>
      <c r="M94" s="2317"/>
      <c r="N94" s="2317"/>
      <c r="O94" s="2317"/>
      <c r="P94" s="2317"/>
      <c r="Q94" s="2317"/>
      <c r="R94" s="2317"/>
      <c r="S94" s="360"/>
    </row>
    <row r="95" spans="1:19" ht="11.25" customHeight="1" x14ac:dyDescent="0.25">
      <c r="A95" s="2301"/>
      <c r="B95" s="2305"/>
      <c r="C95" s="1328"/>
      <c r="D95" s="1328"/>
      <c r="E95" s="1328"/>
      <c r="F95" s="1328"/>
      <c r="G95" s="1328"/>
      <c r="H95" s="1328"/>
      <c r="I95" s="1328"/>
      <c r="J95" s="1328"/>
      <c r="K95" s="1328"/>
      <c r="L95" s="1328"/>
      <c r="M95" s="1328"/>
      <c r="N95" s="1328"/>
      <c r="O95" s="1328"/>
      <c r="P95" s="1328"/>
      <c r="Q95" s="1328"/>
      <c r="R95" s="1328"/>
      <c r="S95" s="360"/>
    </row>
    <row r="96" spans="1:19" ht="11.25" customHeight="1" x14ac:dyDescent="0.25">
      <c r="A96" s="2301"/>
      <c r="B96" s="2305"/>
      <c r="C96" s="1328"/>
      <c r="D96" s="1328"/>
      <c r="E96" s="1328"/>
      <c r="F96" s="1328"/>
      <c r="G96" s="1328"/>
      <c r="H96" s="1328"/>
      <c r="I96" s="1328"/>
      <c r="J96" s="1328"/>
      <c r="K96" s="1328"/>
      <c r="L96" s="1328"/>
      <c r="M96" s="1328"/>
      <c r="N96" s="1328"/>
      <c r="O96" s="1328"/>
      <c r="P96" s="1328"/>
      <c r="Q96" s="1328"/>
      <c r="R96" s="1328"/>
      <c r="S96" s="360"/>
    </row>
    <row r="97" spans="1:19" ht="11.25" customHeight="1" x14ac:dyDescent="0.25">
      <c r="A97" s="2301"/>
      <c r="B97" s="2305"/>
      <c r="C97" s="2318"/>
      <c r="D97" s="2318"/>
      <c r="E97" s="2318"/>
      <c r="F97" s="2318"/>
      <c r="G97" s="2318"/>
      <c r="H97" s="2318"/>
      <c r="I97" s="2318"/>
      <c r="J97" s="2318"/>
      <c r="K97" s="2318"/>
      <c r="L97" s="2318"/>
      <c r="M97" s="2318"/>
      <c r="N97" s="2318"/>
      <c r="O97" s="2318"/>
      <c r="P97" s="2318"/>
      <c r="Q97" s="2318"/>
      <c r="R97" s="2318"/>
      <c r="S97" s="360"/>
    </row>
    <row r="98" spans="1:19" ht="11.25" customHeight="1" x14ac:dyDescent="0.25">
      <c r="A98" s="2301"/>
      <c r="B98" s="2305"/>
      <c r="C98" s="2319"/>
      <c r="D98" s="2319"/>
      <c r="E98" s="2319"/>
      <c r="F98" s="2319"/>
      <c r="G98" s="2319"/>
      <c r="H98" s="2319"/>
      <c r="I98" s="2319"/>
      <c r="J98" s="2319"/>
      <c r="K98" s="2319"/>
      <c r="L98" s="2319"/>
      <c r="M98" s="2319"/>
      <c r="N98" s="2319"/>
      <c r="O98" s="2319"/>
      <c r="P98" s="2319"/>
      <c r="Q98" s="2319"/>
      <c r="R98" s="2319"/>
      <c r="S98" s="360"/>
    </row>
    <row r="99" spans="1:19" ht="11.25" customHeight="1" x14ac:dyDescent="0.25">
      <c r="A99" s="2301"/>
      <c r="B99" s="2305"/>
      <c r="C99" s="2319"/>
      <c r="D99" s="2319"/>
      <c r="E99" s="2319"/>
      <c r="F99" s="2319"/>
      <c r="G99" s="2319"/>
      <c r="H99" s="2319"/>
      <c r="I99" s="2319"/>
      <c r="J99" s="2319"/>
      <c r="K99" s="2319"/>
      <c r="L99" s="2319"/>
      <c r="M99" s="2319"/>
      <c r="N99" s="2319"/>
      <c r="O99" s="2319"/>
      <c r="P99" s="2319"/>
      <c r="Q99" s="2319"/>
      <c r="R99" s="2319"/>
      <c r="S99" s="360"/>
    </row>
    <row r="100" spans="1:19" ht="11.25" customHeight="1" x14ac:dyDescent="0.25">
      <c r="A100" s="2301"/>
      <c r="B100" s="2305"/>
      <c r="C100" s="2319"/>
      <c r="D100" s="2319"/>
      <c r="E100" s="2319"/>
      <c r="F100" s="2319"/>
      <c r="G100" s="2319"/>
      <c r="H100" s="2319"/>
      <c r="I100" s="2319"/>
      <c r="J100" s="2319"/>
      <c r="K100" s="2319"/>
      <c r="L100" s="2319"/>
      <c r="M100" s="2319"/>
      <c r="N100" s="2319"/>
      <c r="O100" s="2319"/>
      <c r="P100" s="2319"/>
      <c r="Q100" s="2319"/>
      <c r="R100" s="2319"/>
      <c r="S100" s="360"/>
    </row>
    <row r="101" spans="1:19" ht="11.25" customHeight="1" x14ac:dyDescent="0.25">
      <c r="A101" s="2301"/>
      <c r="B101" s="2305"/>
      <c r="C101" s="2319"/>
      <c r="D101" s="2319"/>
      <c r="E101" s="2319"/>
      <c r="F101" s="2319"/>
      <c r="G101" s="2319"/>
      <c r="H101" s="2319"/>
      <c r="I101" s="2319"/>
      <c r="J101" s="2319"/>
      <c r="K101" s="2319"/>
      <c r="L101" s="2319"/>
      <c r="M101" s="2319"/>
      <c r="N101" s="2319"/>
      <c r="O101" s="2319"/>
      <c r="P101" s="2319"/>
      <c r="Q101" s="2319"/>
      <c r="R101" s="2319"/>
      <c r="S101" s="360"/>
    </row>
    <row r="102" spans="1:19" ht="11.25" customHeight="1" x14ac:dyDescent="0.25">
      <c r="A102" s="2301"/>
      <c r="B102" s="2305"/>
      <c r="C102" s="2319"/>
      <c r="D102" s="2319"/>
      <c r="E102" s="2319"/>
      <c r="F102" s="2319"/>
      <c r="G102" s="2319"/>
      <c r="H102" s="2319"/>
      <c r="I102" s="2319"/>
      <c r="J102" s="2319"/>
      <c r="K102" s="2319"/>
      <c r="L102" s="2319"/>
      <c r="M102" s="2319"/>
      <c r="N102" s="2319"/>
      <c r="O102" s="2319"/>
      <c r="P102" s="2319"/>
      <c r="Q102" s="2319"/>
      <c r="R102" s="2319"/>
      <c r="S102" s="360"/>
    </row>
    <row r="103" spans="1:19" ht="11.25" customHeight="1" x14ac:dyDescent="0.25">
      <c r="A103" s="2301"/>
      <c r="B103" s="2305"/>
      <c r="C103" s="2319"/>
      <c r="D103" s="2319"/>
      <c r="E103" s="2319"/>
      <c r="F103" s="2319"/>
      <c r="G103" s="2319"/>
      <c r="H103" s="2319"/>
      <c r="I103" s="2319"/>
      <c r="J103" s="2319"/>
      <c r="K103" s="2319"/>
      <c r="L103" s="2319"/>
      <c r="M103" s="2319"/>
      <c r="N103" s="2319"/>
      <c r="O103" s="2319"/>
      <c r="P103" s="2319"/>
      <c r="Q103" s="2319"/>
      <c r="R103" s="2319"/>
      <c r="S103" s="360"/>
    </row>
    <row r="104" spans="1:19" ht="11.25" customHeight="1" x14ac:dyDescent="0.25">
      <c r="A104" s="2306"/>
      <c r="B104" s="2305"/>
      <c r="C104" s="261"/>
      <c r="D104" s="261"/>
      <c r="E104" s="261"/>
      <c r="F104" s="261"/>
      <c r="G104" s="261"/>
      <c r="H104" s="261"/>
      <c r="I104" s="261"/>
      <c r="J104" s="261"/>
      <c r="K104" s="261"/>
      <c r="L104" s="261"/>
      <c r="M104" s="261"/>
      <c r="N104" s="261"/>
      <c r="O104" s="261"/>
      <c r="P104" s="261"/>
      <c r="Q104" s="261"/>
      <c r="R104" s="261"/>
      <c r="S104" s="360"/>
    </row>
    <row r="105" spans="1:19" ht="5.0999999999999996" customHeight="1" x14ac:dyDescent="0.25">
      <c r="A105" s="2307"/>
      <c r="B105" s="2302"/>
      <c r="C105" s="363"/>
      <c r="D105" s="363"/>
      <c r="E105" s="363"/>
      <c r="F105" s="363"/>
      <c r="G105" s="363"/>
      <c r="H105" s="363"/>
      <c r="I105" s="363"/>
      <c r="J105" s="363"/>
      <c r="K105" s="363"/>
      <c r="L105" s="363"/>
      <c r="M105" s="363"/>
      <c r="N105" s="363"/>
      <c r="O105" s="363"/>
      <c r="P105" s="363"/>
      <c r="Q105" s="363"/>
      <c r="R105" s="363"/>
      <c r="S105" s="360"/>
    </row>
    <row r="106" spans="1:19" s="708" customFormat="1" x14ac:dyDescent="0.25">
      <c r="A106" s="2320"/>
      <c r="B106" s="2311"/>
      <c r="C106" s="1035"/>
      <c r="D106" s="1035"/>
      <c r="E106" s="1035"/>
      <c r="F106" s="1035"/>
      <c r="G106" s="1035"/>
      <c r="H106" s="1035"/>
      <c r="I106" s="1035"/>
      <c r="J106" s="1035"/>
      <c r="K106" s="1035"/>
      <c r="L106" s="1035"/>
      <c r="M106" s="1035"/>
      <c r="N106" s="1035"/>
      <c r="O106" s="1035"/>
      <c r="P106" s="1035"/>
      <c r="Q106" s="1035"/>
      <c r="R106" s="1035"/>
      <c r="S106" s="1058"/>
    </row>
    <row r="107" spans="1:19" s="708" customFormat="1" x14ac:dyDescent="0.25">
      <c r="A107" s="2321"/>
      <c r="B107" s="2311"/>
      <c r="C107" s="1035"/>
      <c r="D107" s="1035"/>
      <c r="E107" s="1035"/>
      <c r="F107" s="1035"/>
      <c r="G107" s="1035"/>
      <c r="H107" s="1035"/>
      <c r="I107" s="1035"/>
      <c r="J107" s="1035"/>
      <c r="K107" s="1035"/>
      <c r="L107" s="1035"/>
      <c r="M107" s="1035"/>
      <c r="N107" s="1035"/>
      <c r="O107" s="1035"/>
      <c r="P107" s="1035"/>
      <c r="Q107" s="1035"/>
      <c r="R107" s="1035"/>
      <c r="S107" s="1058"/>
    </row>
    <row r="108" spans="1:19" s="708" customFormat="1" x14ac:dyDescent="0.25">
      <c r="A108" s="2321"/>
      <c r="B108" s="2311"/>
      <c r="C108" s="1035"/>
      <c r="D108" s="1035"/>
      <c r="E108" s="1035"/>
      <c r="F108" s="1035"/>
      <c r="G108" s="1035"/>
      <c r="H108" s="1035"/>
      <c r="I108" s="1035"/>
      <c r="J108" s="1035"/>
      <c r="K108" s="1035"/>
      <c r="L108" s="1035"/>
      <c r="M108" s="1035"/>
      <c r="N108" s="1035"/>
      <c r="O108" s="1035"/>
      <c r="P108" s="1035"/>
      <c r="Q108" s="1035"/>
      <c r="R108" s="1035"/>
      <c r="S108" s="1058"/>
    </row>
    <row r="109" spans="1:19" s="708" customFormat="1" x14ac:dyDescent="0.25">
      <c r="A109" s="1510"/>
      <c r="B109" s="2311"/>
      <c r="C109" s="1035"/>
      <c r="D109" s="1035"/>
      <c r="E109" s="1035"/>
      <c r="F109" s="1035"/>
      <c r="G109" s="1035"/>
      <c r="H109" s="1035"/>
      <c r="I109" s="1035"/>
      <c r="J109" s="1035"/>
      <c r="K109" s="1035"/>
      <c r="L109" s="1035"/>
      <c r="M109" s="1035"/>
      <c r="N109" s="1035"/>
      <c r="O109" s="1035"/>
      <c r="P109" s="1035"/>
      <c r="Q109" s="1035"/>
      <c r="R109" s="1035"/>
      <c r="S109" s="1058"/>
    </row>
    <row r="110" spans="1:19" s="708" customFormat="1" x14ac:dyDescent="0.25">
      <c r="A110" s="2321"/>
      <c r="B110" s="2311"/>
      <c r="C110" s="1035"/>
      <c r="D110" s="1035"/>
      <c r="E110" s="1035"/>
      <c r="F110" s="1035"/>
      <c r="G110" s="1035"/>
      <c r="H110" s="1035"/>
      <c r="I110" s="1035"/>
      <c r="J110" s="1035"/>
      <c r="K110" s="1035"/>
      <c r="L110" s="1035"/>
      <c r="M110" s="1035"/>
      <c r="N110" s="1035"/>
      <c r="O110" s="1035"/>
      <c r="P110" s="1035"/>
      <c r="Q110" s="1035"/>
      <c r="R110" s="1035"/>
      <c r="S110" s="1058"/>
    </row>
    <row r="111" spans="1:19" x14ac:dyDescent="0.25">
      <c r="A111" s="1154"/>
      <c r="B111" s="2302"/>
      <c r="C111" s="237"/>
      <c r="D111" s="237"/>
      <c r="E111" s="237"/>
      <c r="F111" s="237"/>
      <c r="G111" s="238"/>
      <c r="H111" s="238"/>
      <c r="I111" s="238"/>
      <c r="J111" s="238"/>
      <c r="K111" s="238"/>
      <c r="L111" s="238"/>
      <c r="M111" s="238"/>
      <c r="N111" s="238"/>
      <c r="O111" s="238"/>
      <c r="P111" s="238"/>
      <c r="Q111" s="238"/>
      <c r="R111" s="238"/>
      <c r="S111" s="360"/>
    </row>
    <row r="112" spans="1:19" x14ac:dyDescent="0.25">
      <c r="A112" s="1154"/>
      <c r="B112" s="2302"/>
      <c r="C112" s="237"/>
      <c r="D112" s="237"/>
      <c r="E112" s="237"/>
      <c r="F112" s="237"/>
      <c r="G112" s="238"/>
      <c r="H112" s="238"/>
      <c r="I112" s="238"/>
      <c r="J112" s="238"/>
      <c r="K112" s="238"/>
      <c r="L112" s="238"/>
      <c r="M112" s="238"/>
      <c r="N112" s="238"/>
      <c r="O112" s="238"/>
      <c r="P112" s="238"/>
      <c r="Q112" s="238"/>
      <c r="R112" s="238"/>
      <c r="S112" s="360"/>
    </row>
    <row r="113" spans="1:19" ht="11.25" customHeight="1" x14ac:dyDescent="0.25">
      <c r="A113" s="360"/>
      <c r="B113" s="2302"/>
      <c r="C113" s="360"/>
      <c r="D113" s="360"/>
      <c r="E113" s="360"/>
      <c r="F113" s="360"/>
      <c r="G113" s="360"/>
      <c r="H113" s="360"/>
      <c r="I113" s="360"/>
      <c r="J113" s="360"/>
      <c r="K113" s="360"/>
      <c r="L113" s="360"/>
      <c r="M113" s="360"/>
      <c r="N113" s="360"/>
      <c r="O113" s="360"/>
      <c r="P113" s="360"/>
      <c r="Q113" s="360"/>
      <c r="R113" s="360"/>
      <c r="S113" s="360"/>
    </row>
    <row r="114" spans="1:19" ht="11.25" customHeight="1" x14ac:dyDescent="0.25">
      <c r="A114" s="360"/>
      <c r="B114" s="2307"/>
      <c r="C114" s="360"/>
      <c r="D114" s="360"/>
      <c r="E114" s="360"/>
      <c r="F114" s="360"/>
      <c r="G114" s="360"/>
      <c r="H114" s="360"/>
      <c r="I114" s="360"/>
      <c r="J114" s="360"/>
      <c r="K114" s="360"/>
      <c r="L114" s="360"/>
      <c r="M114" s="360"/>
      <c r="N114" s="360"/>
      <c r="O114" s="360"/>
      <c r="P114" s="360"/>
      <c r="Q114" s="360"/>
      <c r="R114" s="360"/>
      <c r="S114" s="360"/>
    </row>
    <row r="115" spans="1:19" ht="11.25" customHeight="1" x14ac:dyDescent="0.25">
      <c r="A115" s="246"/>
      <c r="B115" s="652"/>
      <c r="C115" s="246"/>
      <c r="D115" s="246"/>
      <c r="E115" s="246"/>
      <c r="F115" s="246"/>
      <c r="G115" s="246"/>
      <c r="H115" s="246"/>
      <c r="I115" s="246"/>
    </row>
    <row r="116" spans="1:19" ht="11.25" customHeight="1" x14ac:dyDescent="0.25">
      <c r="A116" s="246"/>
      <c r="B116" s="652"/>
      <c r="C116" s="246"/>
      <c r="D116" s="246"/>
      <c r="E116" s="246"/>
      <c r="F116" s="246"/>
      <c r="G116" s="246"/>
      <c r="H116" s="246"/>
      <c r="I116" s="246"/>
    </row>
    <row r="117" spans="1:19" ht="11.25" customHeight="1" x14ac:dyDescent="0.25">
      <c r="A117" s="246"/>
      <c r="B117" s="651"/>
      <c r="C117" s="246"/>
      <c r="D117" s="246"/>
      <c r="E117" s="246"/>
      <c r="F117" s="246"/>
      <c r="G117" s="246"/>
      <c r="H117" s="246"/>
      <c r="I117" s="246"/>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sheet="1" objects="1" scenarios="1"/>
  <customSheetViews>
    <customSheetView guid="{F50C5479-5CC4-4FD7-8319-543D29E829F0}" showGridLines="0">
      <pane xSplit="2" ySplit="2" topLeftCell="C37" activePane="bottomRight" state="frozen"/>
      <selection pane="bottomRight" activeCell="E47" sqref="E47"/>
      <rowBreaks count="1" manualBreakCount="1">
        <brk id="56" max="16383" man="1"/>
      </rowBreaks>
      <pageMargins left="0" right="0" top="0.59055118110236227" bottom="0.24" header="0.51181102362204722" footer="0.23622047244094491"/>
      <printOptions horizontalCentered="1"/>
      <pageSetup paperSize="9" scale="80" orientation="landscape" r:id="rId1"/>
      <headerFooter alignWithMargins="0"/>
    </customSheetView>
  </customSheetViews>
  <dataValidations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rintOptions horizontalCentered="1"/>
  <pageMargins left="0" right="0" top="0.59055118110236227" bottom="0.24" header="0.51181102362204722" footer="0.23622047244094491"/>
  <pageSetup paperSize="9" scale="80" orientation="landscape" r:id="rId2"/>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2"/>
  </sheetPr>
  <dimension ref="A1:S166"/>
  <sheetViews>
    <sheetView showGridLines="0" topLeftCell="A71" zoomScaleNormal="100" workbookViewId="0">
      <selection activeCell="H83" sqref="H83"/>
    </sheetView>
  </sheetViews>
  <sheetFormatPr defaultRowHeight="12.75" x14ac:dyDescent="0.25"/>
  <cols>
    <col min="1" max="1" width="31.42578125" style="360" customWidth="1"/>
    <col min="2" max="2" width="3.7109375" style="2302" customWidth="1"/>
    <col min="3" max="3" width="17.7109375" style="360" customWidth="1"/>
    <col min="4" max="10" width="9.28515625" style="360" customWidth="1"/>
    <col min="11" max="18" width="8.140625" style="360" customWidth="1"/>
    <col min="19" max="19" width="9.85546875" style="360" customWidth="1"/>
    <col min="20" max="20" width="9.5703125" style="360" customWidth="1"/>
    <col min="21" max="21" width="9.85546875" style="360" customWidth="1"/>
    <col min="22" max="24" width="9.5703125" style="360" customWidth="1"/>
    <col min="25" max="25" width="9.85546875" style="360" customWidth="1"/>
    <col min="26" max="28" width="9.5703125" style="360" customWidth="1"/>
    <col min="29" max="30" width="9.85546875" style="360" customWidth="1"/>
    <col min="31" max="16384" width="9.140625" style="360"/>
  </cols>
  <sheetData>
    <row r="1" spans="1:18" ht="13.5" x14ac:dyDescent="0.25">
      <c r="A1" s="2531" t="str">
        <f>muni&amp;" - "&amp;TableA13a</f>
        <v>MP315 Thembisile Hani - Supporting Table SA13a Service Tariffs by category</v>
      </c>
      <c r="B1" s="1117"/>
      <c r="C1" s="1117"/>
      <c r="D1" s="1117"/>
      <c r="E1" s="1117"/>
      <c r="F1" s="1117"/>
      <c r="G1" s="1117"/>
      <c r="H1" s="1117"/>
      <c r="I1" s="1117"/>
      <c r="J1" s="1117"/>
      <c r="K1" s="930"/>
      <c r="L1" s="930"/>
      <c r="M1" s="930"/>
      <c r="N1" s="930"/>
      <c r="O1" s="930"/>
      <c r="P1" s="930"/>
      <c r="Q1" s="930"/>
      <c r="R1" s="930"/>
    </row>
    <row r="2" spans="1:18" ht="24.95" customHeight="1" x14ac:dyDescent="0.25">
      <c r="A2" s="2826" t="str">
        <f>desc</f>
        <v>Description</v>
      </c>
      <c r="B2" s="2789" t="str">
        <f>head27</f>
        <v>Ref</v>
      </c>
      <c r="C2" s="2829" t="s">
        <v>2081</v>
      </c>
      <c r="D2" s="2829" t="str">
        <f>head1b</f>
        <v>2011/12</v>
      </c>
      <c r="E2" s="2829" t="str">
        <f>head1A</f>
        <v>2012/13</v>
      </c>
      <c r="F2" s="2831" t="str">
        <f>Head1</f>
        <v>2013/14</v>
      </c>
      <c r="G2" s="2824" t="str">
        <f>Head2</f>
        <v>Current Year 2014/15</v>
      </c>
      <c r="H2" s="2532" t="str">
        <f>Head3</f>
        <v>2015/16 Medium Term Revenue &amp; Expenditure Framework</v>
      </c>
      <c r="I2" s="2533"/>
      <c r="J2" s="2534"/>
      <c r="K2" s="2300"/>
      <c r="L2" s="2300"/>
      <c r="M2" s="2300"/>
      <c r="N2" s="2300"/>
      <c r="O2" s="2300"/>
      <c r="P2" s="2300"/>
      <c r="Q2" s="2300"/>
      <c r="R2" s="2300"/>
    </row>
    <row r="3" spans="1:18" ht="24.95" customHeight="1" x14ac:dyDescent="0.25">
      <c r="A3" s="2827"/>
      <c r="B3" s="2828"/>
      <c r="C3" s="2830"/>
      <c r="D3" s="2830"/>
      <c r="E3" s="2830"/>
      <c r="F3" s="2832"/>
      <c r="G3" s="2825"/>
      <c r="H3" s="2390" t="str">
        <f>Head9</f>
        <v>Budget Year 2015/16</v>
      </c>
      <c r="I3" s="2535" t="str">
        <f>Head10</f>
        <v>Budget Year +1 2016/17</v>
      </c>
      <c r="J3" s="2389" t="str">
        <f>Head11</f>
        <v>Budget Year +2 2017/18</v>
      </c>
      <c r="K3" s="238"/>
      <c r="L3" s="238"/>
      <c r="M3" s="238"/>
      <c r="N3" s="238"/>
      <c r="O3" s="238"/>
      <c r="P3" s="238"/>
      <c r="Q3" s="238"/>
      <c r="R3" s="238"/>
    </row>
    <row r="4" spans="1:18" ht="12.75" customHeight="1" x14ac:dyDescent="0.25">
      <c r="A4" s="2536" t="s">
        <v>2082</v>
      </c>
      <c r="B4" s="2537">
        <v>1</v>
      </c>
      <c r="C4" s="2537"/>
      <c r="D4" s="2538"/>
      <c r="E4" s="2538"/>
      <c r="F4" s="2539"/>
      <c r="G4" s="2540"/>
      <c r="H4" s="2540"/>
      <c r="I4" s="2538"/>
      <c r="J4" s="2539"/>
      <c r="K4" s="238"/>
      <c r="L4" s="238"/>
      <c r="M4" s="238"/>
      <c r="N4" s="238"/>
      <c r="O4" s="238"/>
      <c r="P4" s="238"/>
      <c r="Q4" s="238"/>
      <c r="R4" s="238"/>
    </row>
    <row r="5" spans="1:18" ht="12.75" customHeight="1" x14ac:dyDescent="0.25">
      <c r="A5" s="2541" t="s">
        <v>2083</v>
      </c>
      <c r="B5" s="2542"/>
      <c r="C5" s="2602" t="s">
        <v>2664</v>
      </c>
      <c r="D5" s="2612" t="s">
        <v>2669</v>
      </c>
      <c r="E5" s="2612" t="s">
        <v>2670</v>
      </c>
      <c r="F5" s="2613"/>
      <c r="G5" s="2614">
        <v>6.9000000000000006E-2</v>
      </c>
      <c r="H5" s="2614">
        <v>7.3000000000000001E-3</v>
      </c>
      <c r="I5" s="2612">
        <f>H5*1.059</f>
        <v>7.7307000000000001E-3</v>
      </c>
      <c r="J5" s="2613">
        <f>I5*1.056</f>
        <v>8.1636191999999996E-3</v>
      </c>
      <c r="K5" s="2091"/>
      <c r="L5" s="2091"/>
      <c r="M5" s="2091"/>
      <c r="N5" s="2091"/>
      <c r="O5" s="2091"/>
      <c r="P5" s="2091"/>
      <c r="Q5" s="2091"/>
      <c r="R5" s="2091"/>
    </row>
    <row r="6" spans="1:18" ht="12.75" customHeight="1" x14ac:dyDescent="0.25">
      <c r="A6" s="2541" t="s">
        <v>2084</v>
      </c>
      <c r="B6" s="2542"/>
      <c r="C6" s="2602"/>
      <c r="D6" s="2612" t="s">
        <v>2671</v>
      </c>
      <c r="E6" s="2612"/>
      <c r="F6" s="2613"/>
      <c r="G6" s="2614"/>
      <c r="H6" s="2614"/>
      <c r="I6" s="2612">
        <f t="shared" ref="I6:I19" si="0">H6*1.059</f>
        <v>0</v>
      </c>
      <c r="J6" s="2613">
        <f t="shared" ref="J6:J19" si="1">I6*1.056</f>
        <v>0</v>
      </c>
      <c r="K6" s="2091"/>
      <c r="L6" s="2091"/>
      <c r="M6" s="2091"/>
      <c r="N6" s="2091"/>
      <c r="O6" s="2091"/>
      <c r="P6" s="2091"/>
      <c r="Q6" s="2091"/>
      <c r="R6" s="2091"/>
    </row>
    <row r="7" spans="1:18" ht="12.75" customHeight="1" x14ac:dyDescent="0.25">
      <c r="A7" s="2541" t="s">
        <v>2085</v>
      </c>
      <c r="B7" s="2542"/>
      <c r="C7" s="2602"/>
      <c r="D7" s="2612"/>
      <c r="E7" s="2612"/>
      <c r="F7" s="2613"/>
      <c r="G7" s="2614"/>
      <c r="H7" s="2614"/>
      <c r="I7" s="2612">
        <f t="shared" si="0"/>
        <v>0</v>
      </c>
      <c r="J7" s="2613">
        <f t="shared" si="1"/>
        <v>0</v>
      </c>
      <c r="K7" s="2091"/>
      <c r="L7" s="2091"/>
      <c r="M7" s="2091"/>
      <c r="N7" s="2091"/>
      <c r="O7" s="2091"/>
      <c r="P7" s="2091"/>
      <c r="Q7" s="2091"/>
      <c r="R7" s="2091"/>
    </row>
    <row r="8" spans="1:18" ht="12.75" customHeight="1" x14ac:dyDescent="0.25">
      <c r="A8" s="2541" t="s">
        <v>2086</v>
      </c>
      <c r="B8" s="2542"/>
      <c r="C8" s="2602"/>
      <c r="D8" s="2612"/>
      <c r="E8" s="2612"/>
      <c r="F8" s="2613"/>
      <c r="G8" s="2614"/>
      <c r="H8" s="2614"/>
      <c r="I8" s="2612">
        <f t="shared" si="0"/>
        <v>0</v>
      </c>
      <c r="J8" s="2613">
        <f t="shared" si="1"/>
        <v>0</v>
      </c>
      <c r="K8" s="2091"/>
      <c r="L8" s="2091"/>
      <c r="M8" s="2091"/>
      <c r="N8" s="2091"/>
      <c r="O8" s="2091"/>
      <c r="P8" s="2091"/>
      <c r="Q8" s="2091"/>
      <c r="R8" s="2091"/>
    </row>
    <row r="9" spans="1:18" ht="12.75" customHeight="1" x14ac:dyDescent="0.25">
      <c r="A9" s="2541" t="s">
        <v>2087</v>
      </c>
      <c r="B9" s="2542"/>
      <c r="C9" s="2602" t="s">
        <v>2665</v>
      </c>
      <c r="D9" s="2612" t="s">
        <v>2671</v>
      </c>
      <c r="E9" s="2612"/>
      <c r="F9" s="2613"/>
      <c r="G9" s="2614"/>
      <c r="H9" s="2614">
        <v>6.1999999999999998E-3</v>
      </c>
      <c r="I9" s="2612">
        <f t="shared" si="0"/>
        <v>6.5657999999999992E-3</v>
      </c>
      <c r="J9" s="2613">
        <f t="shared" si="1"/>
        <v>6.9334847999999996E-3</v>
      </c>
      <c r="K9" s="2091"/>
      <c r="L9" s="2091"/>
      <c r="M9" s="2091"/>
      <c r="N9" s="2091"/>
      <c r="O9" s="2091"/>
      <c r="P9" s="2091"/>
      <c r="Q9" s="2091"/>
      <c r="R9" s="2091"/>
    </row>
    <row r="10" spans="1:18" ht="12.75" customHeight="1" x14ac:dyDescent="0.25">
      <c r="A10" s="2541" t="s">
        <v>2088</v>
      </c>
      <c r="B10" s="2542"/>
      <c r="C10" s="2602"/>
      <c r="D10" s="2612"/>
      <c r="E10" s="2612"/>
      <c r="F10" s="2613"/>
      <c r="G10" s="2614"/>
      <c r="H10" s="2614"/>
      <c r="I10" s="2612">
        <f t="shared" si="0"/>
        <v>0</v>
      </c>
      <c r="J10" s="2613">
        <f t="shared" si="1"/>
        <v>0</v>
      </c>
      <c r="K10" s="2091"/>
      <c r="L10" s="2091"/>
      <c r="M10" s="2091"/>
      <c r="N10" s="2091"/>
      <c r="O10" s="2091"/>
      <c r="P10" s="2091"/>
      <c r="Q10" s="2091"/>
      <c r="R10" s="2091"/>
    </row>
    <row r="11" spans="1:18" ht="12.75" customHeight="1" x14ac:dyDescent="0.25">
      <c r="A11" s="2541" t="s">
        <v>2089</v>
      </c>
      <c r="B11" s="2542"/>
      <c r="C11" s="2602"/>
      <c r="D11" s="2612"/>
      <c r="E11" s="2612"/>
      <c r="F11" s="2613"/>
      <c r="G11" s="2614"/>
      <c r="H11" s="2614"/>
      <c r="I11" s="2612">
        <f t="shared" si="0"/>
        <v>0</v>
      </c>
      <c r="J11" s="2613">
        <f t="shared" si="1"/>
        <v>0</v>
      </c>
      <c r="K11" s="2091"/>
      <c r="L11" s="2091"/>
      <c r="M11" s="2091"/>
      <c r="N11" s="2091"/>
      <c r="O11" s="2091"/>
      <c r="P11" s="2091"/>
      <c r="Q11" s="2091"/>
      <c r="R11" s="2091"/>
    </row>
    <row r="12" spans="1:18" ht="12.75" customHeight="1" x14ac:dyDescent="0.25">
      <c r="A12" s="2541" t="s">
        <v>2090</v>
      </c>
      <c r="B12" s="2542"/>
      <c r="C12" s="2602" t="s">
        <v>2666</v>
      </c>
      <c r="D12" s="2612" t="s">
        <v>2672</v>
      </c>
      <c r="E12" s="2612" t="s">
        <v>2673</v>
      </c>
      <c r="F12" s="2613"/>
      <c r="G12" s="2614">
        <v>8.9999999999999993E-3</v>
      </c>
      <c r="H12" s="2614">
        <v>8.9999999999999993E-3</v>
      </c>
      <c r="I12" s="2612">
        <f t="shared" si="0"/>
        <v>9.5309999999999995E-3</v>
      </c>
      <c r="J12" s="2613">
        <f t="shared" si="1"/>
        <v>1.0064735999999999E-2</v>
      </c>
      <c r="K12" s="2091"/>
      <c r="L12" s="2091"/>
      <c r="M12" s="2091"/>
      <c r="N12" s="2091"/>
      <c r="O12" s="2091"/>
      <c r="P12" s="2091"/>
      <c r="Q12" s="2091"/>
      <c r="R12" s="2091"/>
    </row>
    <row r="13" spans="1:18" ht="12.75" customHeight="1" x14ac:dyDescent="0.25">
      <c r="A13" s="2541" t="s">
        <v>2091</v>
      </c>
      <c r="B13" s="2542"/>
      <c r="C13" s="2602"/>
      <c r="D13" s="2612"/>
      <c r="E13" s="2612"/>
      <c r="F13" s="2613"/>
      <c r="G13" s="2614"/>
      <c r="H13" s="2614"/>
      <c r="I13" s="2612">
        <f t="shared" si="0"/>
        <v>0</v>
      </c>
      <c r="J13" s="2613">
        <f t="shared" si="1"/>
        <v>0</v>
      </c>
      <c r="K13" s="2091"/>
      <c r="L13" s="2091"/>
      <c r="M13" s="2091"/>
      <c r="N13" s="2091"/>
      <c r="O13" s="2091"/>
      <c r="P13" s="2091"/>
      <c r="Q13" s="2091"/>
      <c r="R13" s="2091"/>
    </row>
    <row r="14" spans="1:18" ht="12.75" customHeight="1" x14ac:dyDescent="0.25">
      <c r="A14" s="2541" t="s">
        <v>2092</v>
      </c>
      <c r="B14" s="2542"/>
      <c r="C14" s="2602"/>
      <c r="D14" s="2612"/>
      <c r="E14" s="2612"/>
      <c r="F14" s="2613"/>
      <c r="G14" s="2614"/>
      <c r="H14" s="2614"/>
      <c r="I14" s="2612">
        <f t="shared" si="0"/>
        <v>0</v>
      </c>
      <c r="J14" s="2613">
        <f t="shared" si="1"/>
        <v>0</v>
      </c>
      <c r="K14" s="2091"/>
      <c r="L14" s="2091"/>
      <c r="M14" s="2091"/>
      <c r="N14" s="2091"/>
      <c r="O14" s="2091"/>
      <c r="P14" s="2091"/>
      <c r="Q14" s="2091"/>
      <c r="R14" s="2091"/>
    </row>
    <row r="15" spans="1:18" ht="12.75" customHeight="1" x14ac:dyDescent="0.25">
      <c r="A15" s="2541" t="s">
        <v>2093</v>
      </c>
      <c r="B15" s="2542"/>
      <c r="C15" s="2602"/>
      <c r="D15" s="2612"/>
      <c r="E15" s="2612"/>
      <c r="F15" s="2613"/>
      <c r="G15" s="2614"/>
      <c r="H15" s="2614"/>
      <c r="I15" s="2612">
        <f t="shared" si="0"/>
        <v>0</v>
      </c>
      <c r="J15" s="2613">
        <f t="shared" si="1"/>
        <v>0</v>
      </c>
      <c r="K15" s="2091"/>
      <c r="L15" s="2091"/>
      <c r="M15" s="2091"/>
      <c r="N15" s="2091"/>
      <c r="O15" s="2091"/>
      <c r="P15" s="2091"/>
      <c r="Q15" s="2091"/>
      <c r="R15" s="2091"/>
    </row>
    <row r="16" spans="1:18" ht="12.75" customHeight="1" x14ac:dyDescent="0.25">
      <c r="A16" s="2541" t="s">
        <v>2094</v>
      </c>
      <c r="B16" s="2542"/>
      <c r="C16" s="2602"/>
      <c r="D16" s="2612"/>
      <c r="E16" s="2612"/>
      <c r="F16" s="2613"/>
      <c r="G16" s="2614"/>
      <c r="H16" s="2614"/>
      <c r="I16" s="2612">
        <f t="shared" si="0"/>
        <v>0</v>
      </c>
      <c r="J16" s="2613">
        <f t="shared" si="1"/>
        <v>0</v>
      </c>
      <c r="K16" s="2309"/>
      <c r="L16" s="2309"/>
      <c r="M16" s="2309"/>
      <c r="N16" s="2309"/>
      <c r="O16" s="2309"/>
      <c r="P16" s="2309"/>
      <c r="Q16" s="2309"/>
      <c r="R16" s="2309"/>
    </row>
    <row r="17" spans="1:18" ht="12.75" customHeight="1" x14ac:dyDescent="0.25">
      <c r="A17" s="2541" t="s">
        <v>2095</v>
      </c>
      <c r="B17" s="2542"/>
      <c r="C17" s="2602"/>
      <c r="D17" s="2612"/>
      <c r="E17" s="2612"/>
      <c r="F17" s="2613"/>
      <c r="G17" s="2614"/>
      <c r="H17" s="2614"/>
      <c r="I17" s="2612">
        <f t="shared" si="0"/>
        <v>0</v>
      </c>
      <c r="J17" s="2613">
        <f t="shared" si="1"/>
        <v>0</v>
      </c>
      <c r="K17" s="2311"/>
      <c r="L17" s="2311"/>
      <c r="M17" s="2311"/>
      <c r="N17" s="2311"/>
      <c r="O17" s="2311"/>
      <c r="P17" s="2311"/>
      <c r="Q17" s="2311"/>
      <c r="R17" s="2311"/>
    </row>
    <row r="18" spans="1:18" ht="12.75" customHeight="1" x14ac:dyDescent="0.25">
      <c r="A18" s="2541" t="s">
        <v>2096</v>
      </c>
      <c r="B18" s="2542"/>
      <c r="C18" s="2602" t="s">
        <v>2667</v>
      </c>
      <c r="D18" s="2612" t="s">
        <v>2674</v>
      </c>
      <c r="E18" s="2612" t="s">
        <v>2673</v>
      </c>
      <c r="F18" s="2613"/>
      <c r="G18" s="2614">
        <v>8.9999999999999993E-3</v>
      </c>
      <c r="H18" s="2614">
        <v>9.4999999999999998E-3</v>
      </c>
      <c r="I18" s="2612">
        <f t="shared" si="0"/>
        <v>1.00605E-2</v>
      </c>
      <c r="J18" s="2613">
        <f t="shared" si="1"/>
        <v>1.0623888E-2</v>
      </c>
      <c r="K18" s="2312"/>
      <c r="L18" s="2312"/>
      <c r="M18" s="2312"/>
      <c r="N18" s="2312"/>
      <c r="O18" s="2312"/>
      <c r="P18" s="2312"/>
      <c r="Q18" s="2312"/>
      <c r="R18" s="2312"/>
    </row>
    <row r="19" spans="1:18" ht="12.75" customHeight="1" x14ac:dyDescent="0.25">
      <c r="A19" s="2541" t="s">
        <v>2097</v>
      </c>
      <c r="B19" s="2542"/>
      <c r="C19" s="2602"/>
      <c r="D19" s="2612"/>
      <c r="E19" s="2612"/>
      <c r="F19" s="2613"/>
      <c r="G19" s="2614"/>
      <c r="H19" s="2614"/>
      <c r="I19" s="2612">
        <f t="shared" si="0"/>
        <v>0</v>
      </c>
      <c r="J19" s="2613">
        <f t="shared" si="1"/>
        <v>0</v>
      </c>
      <c r="K19" s="2311"/>
      <c r="L19" s="2311"/>
      <c r="M19" s="2311"/>
      <c r="N19" s="2311"/>
      <c r="O19" s="2311"/>
      <c r="P19" s="2311"/>
      <c r="Q19" s="2311"/>
      <c r="R19" s="2311"/>
    </row>
    <row r="20" spans="1:18" ht="12.75" customHeight="1" x14ac:dyDescent="0.25">
      <c r="A20" s="2541" t="s">
        <v>2098</v>
      </c>
      <c r="B20" s="2542"/>
      <c r="C20" s="2602" t="s">
        <v>2668</v>
      </c>
      <c r="D20" s="2612">
        <v>0</v>
      </c>
      <c r="E20" s="2612" t="s">
        <v>2675</v>
      </c>
      <c r="F20" s="2613"/>
      <c r="G20" s="2614" t="s">
        <v>2675</v>
      </c>
      <c r="H20" s="2614" t="s">
        <v>2675</v>
      </c>
      <c r="I20" s="2614" t="s">
        <v>2675</v>
      </c>
      <c r="J20" s="2614" t="s">
        <v>2675</v>
      </c>
      <c r="K20" s="2311"/>
      <c r="L20" s="2311"/>
      <c r="M20" s="2311"/>
      <c r="N20" s="2311"/>
      <c r="O20" s="2311"/>
      <c r="P20" s="2311"/>
      <c r="Q20" s="2311"/>
      <c r="R20" s="2311"/>
    </row>
    <row r="21" spans="1:18" ht="12.75" customHeight="1" x14ac:dyDescent="0.25">
      <c r="A21" s="2541" t="s">
        <v>2099</v>
      </c>
      <c r="B21" s="2542"/>
      <c r="C21" s="2602"/>
      <c r="D21" s="2612"/>
      <c r="E21" s="2612"/>
      <c r="F21" s="2613"/>
      <c r="G21" s="2614"/>
      <c r="H21" s="2614"/>
      <c r="I21" s="2612"/>
      <c r="J21" s="2613"/>
      <c r="K21" s="2311"/>
      <c r="L21" s="2311"/>
      <c r="M21" s="2311"/>
      <c r="N21" s="2311"/>
      <c r="O21" s="2311"/>
      <c r="P21" s="2311"/>
      <c r="Q21" s="2311"/>
      <c r="R21" s="2311"/>
    </row>
    <row r="22" spans="1:18" ht="12.75" customHeight="1" x14ac:dyDescent="0.25">
      <c r="A22" s="2541" t="s">
        <v>414</v>
      </c>
      <c r="B22" s="2542"/>
      <c r="C22" s="2602"/>
      <c r="D22" s="2612"/>
      <c r="E22" s="2612"/>
      <c r="F22" s="2613"/>
      <c r="G22" s="2614"/>
      <c r="H22" s="2614"/>
      <c r="I22" s="2612"/>
      <c r="J22" s="2613"/>
      <c r="K22" s="2311"/>
      <c r="L22" s="2311"/>
      <c r="M22" s="2311"/>
      <c r="N22" s="2311"/>
      <c r="O22" s="2311"/>
      <c r="P22" s="2311"/>
      <c r="Q22" s="2311"/>
      <c r="R22" s="2311"/>
    </row>
    <row r="23" spans="1:18" ht="12.75" customHeight="1" x14ac:dyDescent="0.25">
      <c r="A23" s="2541" t="s">
        <v>2100</v>
      </c>
      <c r="B23" s="2542"/>
      <c r="C23" s="2602"/>
      <c r="D23" s="2612"/>
      <c r="E23" s="2612"/>
      <c r="F23" s="2613"/>
      <c r="G23" s="2614"/>
      <c r="H23" s="2614"/>
      <c r="I23" s="2612"/>
      <c r="J23" s="2613"/>
      <c r="K23" s="2311"/>
      <c r="L23" s="2311"/>
      <c r="M23" s="2311"/>
      <c r="N23" s="2311"/>
      <c r="O23" s="2311"/>
      <c r="P23" s="2311"/>
      <c r="Q23" s="2311"/>
      <c r="R23" s="2311"/>
    </row>
    <row r="24" spans="1:18" ht="12.75" customHeight="1" x14ac:dyDescent="0.25">
      <c r="A24" s="2541" t="s">
        <v>2101</v>
      </c>
      <c r="B24" s="2542"/>
      <c r="C24" s="2602"/>
      <c r="D24" s="2612"/>
      <c r="E24" s="2612"/>
      <c r="F24" s="2613"/>
      <c r="G24" s="2614"/>
      <c r="H24" s="2614"/>
      <c r="I24" s="2612"/>
      <c r="J24" s="2613"/>
      <c r="K24" s="2311"/>
      <c r="L24" s="2311"/>
      <c r="M24" s="2311"/>
      <c r="N24" s="2311"/>
      <c r="O24" s="2311"/>
      <c r="P24" s="2311"/>
      <c r="Q24" s="2311"/>
      <c r="R24" s="2311"/>
    </row>
    <row r="25" spans="1:18" ht="12.75" customHeight="1" x14ac:dyDescent="0.25">
      <c r="A25" s="2541" t="s">
        <v>2102</v>
      </c>
      <c r="B25" s="2543"/>
      <c r="C25" s="2602"/>
      <c r="D25" s="2612"/>
      <c r="E25" s="2612"/>
      <c r="F25" s="2613"/>
      <c r="G25" s="2614"/>
      <c r="H25" s="2614"/>
      <c r="I25" s="2612"/>
      <c r="J25" s="2613"/>
      <c r="K25" s="602"/>
      <c r="L25" s="602"/>
      <c r="M25" s="602"/>
      <c r="N25" s="602"/>
      <c r="O25" s="602"/>
      <c r="P25" s="602"/>
      <c r="Q25" s="602"/>
      <c r="R25" s="602"/>
    </row>
    <row r="26" spans="1:18" ht="5.0999999999999996" customHeight="1" x14ac:dyDescent="0.25">
      <c r="A26" s="2541"/>
      <c r="B26" s="2543"/>
      <c r="C26" s="2602"/>
      <c r="D26" s="2602"/>
      <c r="E26" s="2602"/>
      <c r="F26" s="2603"/>
      <c r="G26" s="2604"/>
      <c r="H26" s="2604"/>
      <c r="I26" s="2602"/>
      <c r="J26" s="2603"/>
      <c r="K26" s="602"/>
      <c r="L26" s="602"/>
      <c r="M26" s="602"/>
      <c r="N26" s="602"/>
      <c r="O26" s="602"/>
      <c r="P26" s="602"/>
      <c r="Q26" s="602"/>
      <c r="R26" s="602"/>
    </row>
    <row r="27" spans="1:18" ht="12.75" customHeight="1" x14ac:dyDescent="0.25">
      <c r="A27" s="2536" t="s">
        <v>2103</v>
      </c>
      <c r="B27" s="2543"/>
      <c r="C27" s="2544"/>
      <c r="D27" s="2544"/>
      <c r="E27" s="2544"/>
      <c r="F27" s="2545"/>
      <c r="G27" s="2546"/>
      <c r="H27" s="2546"/>
      <c r="I27" s="2544"/>
      <c r="J27" s="2545"/>
      <c r="K27" s="2313"/>
      <c r="L27" s="2313"/>
      <c r="M27" s="2313"/>
      <c r="N27" s="2313"/>
      <c r="O27" s="2313"/>
      <c r="P27" s="2313"/>
      <c r="Q27" s="2313"/>
      <c r="R27" s="2313"/>
    </row>
    <row r="28" spans="1:18" ht="12.75" customHeight="1" x14ac:dyDescent="0.25">
      <c r="A28" s="2547" t="s">
        <v>2083</v>
      </c>
      <c r="B28" s="2543"/>
      <c r="C28" s="2544"/>
      <c r="D28" s="2544"/>
      <c r="E28" s="2544"/>
      <c r="F28" s="2545"/>
      <c r="G28" s="2546"/>
      <c r="H28" s="2546"/>
      <c r="I28" s="2544"/>
      <c r="J28" s="2545"/>
      <c r="K28" s="2313"/>
      <c r="L28" s="2313"/>
      <c r="M28" s="2313"/>
      <c r="N28" s="2313"/>
      <c r="O28" s="2313"/>
      <c r="P28" s="2313"/>
      <c r="Q28" s="2313"/>
      <c r="R28" s="2313"/>
    </row>
    <row r="29" spans="1:18" ht="12.75" customHeight="1" x14ac:dyDescent="0.25">
      <c r="A29" s="2541" t="s">
        <v>2138</v>
      </c>
      <c r="B29" s="2542"/>
      <c r="C29" s="2544"/>
      <c r="D29" s="2544">
        <v>15000</v>
      </c>
      <c r="E29" s="2544">
        <v>15000</v>
      </c>
      <c r="F29" s="2545">
        <v>15000</v>
      </c>
      <c r="G29" s="2546">
        <v>15000</v>
      </c>
      <c r="H29" s="2546">
        <v>15000</v>
      </c>
      <c r="I29" s="2544">
        <v>15000</v>
      </c>
      <c r="J29" s="2545">
        <v>15000</v>
      </c>
      <c r="K29" s="2313"/>
      <c r="L29" s="2313"/>
      <c r="M29" s="2313"/>
      <c r="N29" s="2313"/>
      <c r="O29" s="2313"/>
      <c r="P29" s="2313"/>
      <c r="Q29" s="2313"/>
      <c r="R29" s="2313"/>
    </row>
    <row r="30" spans="1:18" ht="12.75" customHeight="1" x14ac:dyDescent="0.25">
      <c r="A30" s="2548" t="s">
        <v>2104</v>
      </c>
      <c r="B30" s="2542"/>
      <c r="C30" s="2602"/>
      <c r="D30" s="2602">
        <v>50000</v>
      </c>
      <c r="E30" s="2602"/>
      <c r="F30" s="2603"/>
      <c r="G30" s="2604"/>
      <c r="H30" s="2604">
        <v>50000</v>
      </c>
      <c r="I30" s="2602">
        <f>H30*1.059</f>
        <v>52950</v>
      </c>
      <c r="J30" s="2603">
        <f>I30*1.056</f>
        <v>55915.200000000004</v>
      </c>
      <c r="K30" s="2313"/>
      <c r="L30" s="2313"/>
      <c r="M30" s="2313"/>
      <c r="N30" s="2313"/>
      <c r="O30" s="2313"/>
      <c r="P30" s="2313"/>
      <c r="Q30" s="2313"/>
      <c r="R30" s="2313"/>
    </row>
    <row r="31" spans="1:18" ht="12.75" customHeight="1" x14ac:dyDescent="0.25">
      <c r="A31" s="1267" t="s">
        <v>2105</v>
      </c>
      <c r="B31" s="2542"/>
      <c r="C31" s="2602"/>
      <c r="D31" s="2602">
        <v>100000</v>
      </c>
      <c r="E31" s="2602"/>
      <c r="F31" s="2603"/>
      <c r="G31" s="2604"/>
      <c r="H31" s="2604">
        <v>100000</v>
      </c>
      <c r="I31" s="2602">
        <f t="shared" ref="I31:I32" si="2">H31*1.059</f>
        <v>105900</v>
      </c>
      <c r="J31" s="2603">
        <f t="shared" ref="J31:J32" si="3">I31*1.056</f>
        <v>111830.40000000001</v>
      </c>
      <c r="K31" s="2313"/>
      <c r="L31" s="2313"/>
      <c r="M31" s="2313"/>
      <c r="N31" s="2313"/>
      <c r="O31" s="2313"/>
      <c r="P31" s="2313"/>
      <c r="Q31" s="2313"/>
      <c r="R31" s="2313"/>
    </row>
    <row r="32" spans="1:18" ht="12.75" customHeight="1" x14ac:dyDescent="0.25">
      <c r="A32" s="1267" t="s">
        <v>2106</v>
      </c>
      <c r="B32" s="2542"/>
      <c r="C32" s="2602" t="s">
        <v>2676</v>
      </c>
      <c r="D32" s="2602">
        <v>60000</v>
      </c>
      <c r="E32" s="2602"/>
      <c r="F32" s="2603"/>
      <c r="G32" s="2604"/>
      <c r="H32" s="2604">
        <v>100000</v>
      </c>
      <c r="I32" s="2602">
        <f t="shared" si="2"/>
        <v>105900</v>
      </c>
      <c r="J32" s="2603">
        <f t="shared" si="3"/>
        <v>111830.40000000001</v>
      </c>
      <c r="K32" s="2313"/>
      <c r="L32" s="2313"/>
      <c r="M32" s="2313"/>
      <c r="N32" s="2313"/>
      <c r="O32" s="2313"/>
      <c r="P32" s="2313"/>
      <c r="Q32" s="2313"/>
      <c r="R32" s="2313"/>
    </row>
    <row r="33" spans="1:19" ht="12.75" customHeight="1" x14ac:dyDescent="0.25">
      <c r="A33" s="1267" t="s">
        <v>2107</v>
      </c>
      <c r="B33" s="2542"/>
      <c r="C33" s="2602"/>
      <c r="D33" s="2602" t="s">
        <v>2677</v>
      </c>
      <c r="E33" s="2602"/>
      <c r="F33" s="2603"/>
      <c r="G33" s="2604"/>
      <c r="H33" s="2604"/>
      <c r="I33" s="2602"/>
      <c r="J33" s="2603"/>
      <c r="K33" s="2303"/>
      <c r="L33" s="2303"/>
      <c r="M33" s="2303"/>
      <c r="N33" s="2303"/>
      <c r="O33" s="2303"/>
      <c r="P33" s="2303"/>
      <c r="Q33" s="2303"/>
      <c r="R33" s="2303"/>
    </row>
    <row r="34" spans="1:19" ht="12.75" customHeight="1" x14ac:dyDescent="0.25">
      <c r="A34" s="1267" t="s">
        <v>2108</v>
      </c>
      <c r="B34" s="2542"/>
      <c r="C34" s="2602"/>
      <c r="D34" s="2602">
        <v>0.75</v>
      </c>
      <c r="E34" s="2602">
        <v>0.5</v>
      </c>
      <c r="F34" s="2603"/>
      <c r="G34" s="2604"/>
      <c r="H34" s="2604"/>
      <c r="I34" s="2602"/>
      <c r="J34" s="2603"/>
      <c r="K34" s="2314"/>
      <c r="L34" s="2314"/>
      <c r="M34" s="2314"/>
      <c r="N34" s="2314"/>
      <c r="O34" s="2314"/>
      <c r="P34" s="2314"/>
      <c r="Q34" s="2314"/>
      <c r="R34" s="2314"/>
    </row>
    <row r="35" spans="1:19" ht="12.75" customHeight="1" x14ac:dyDescent="0.25">
      <c r="A35" s="1266" t="s">
        <v>2255</v>
      </c>
      <c r="B35" s="2542">
        <v>2</v>
      </c>
      <c r="C35" s="2602"/>
      <c r="D35" s="2602"/>
      <c r="E35" s="2602"/>
      <c r="F35" s="2603"/>
      <c r="G35" s="2604"/>
      <c r="H35" s="2604"/>
      <c r="I35" s="2602"/>
      <c r="J35" s="2603"/>
      <c r="K35" s="2314"/>
      <c r="L35" s="2314"/>
      <c r="M35" s="2314"/>
      <c r="N35" s="2314"/>
      <c r="O35" s="2314"/>
      <c r="P35" s="2314"/>
      <c r="Q35" s="2314"/>
      <c r="R35" s="2314"/>
    </row>
    <row r="36" spans="1:19" ht="5.0999999999999996" customHeight="1" x14ac:dyDescent="0.25">
      <c r="A36" s="2549"/>
      <c r="B36" s="2543"/>
      <c r="C36" s="2543"/>
      <c r="D36" s="2550"/>
      <c r="E36" s="2550"/>
      <c r="F36" s="2551"/>
      <c r="G36" s="2552"/>
      <c r="H36" s="2552"/>
      <c r="I36" s="2550"/>
      <c r="J36" s="2551"/>
      <c r="K36" s="2316"/>
      <c r="L36" s="2316"/>
      <c r="M36" s="2316"/>
      <c r="N36" s="2316"/>
      <c r="O36" s="2316"/>
      <c r="P36" s="2316"/>
      <c r="Q36" s="2316"/>
      <c r="R36" s="2316"/>
    </row>
    <row r="37" spans="1:19" ht="12.75" customHeight="1" x14ac:dyDescent="0.25">
      <c r="A37" s="2536" t="s">
        <v>2109</v>
      </c>
      <c r="B37" s="2543"/>
      <c r="C37" s="2543"/>
      <c r="D37" s="2544"/>
      <c r="E37" s="2544"/>
      <c r="F37" s="2545"/>
      <c r="G37" s="2546"/>
      <c r="H37" s="2546"/>
      <c r="I37" s="2544"/>
      <c r="J37" s="2545"/>
      <c r="K37" s="2304"/>
      <c r="L37" s="2304"/>
      <c r="M37" s="2304"/>
      <c r="N37" s="2304"/>
      <c r="O37" s="2304"/>
      <c r="P37" s="2304"/>
      <c r="Q37" s="2304"/>
      <c r="R37" s="2304"/>
    </row>
    <row r="38" spans="1:19" ht="12.75" customHeight="1" x14ac:dyDescent="0.25">
      <c r="A38" s="2547" t="s">
        <v>2110</v>
      </c>
      <c r="B38" s="2542"/>
      <c r="C38" s="2543"/>
      <c r="D38" s="2544"/>
      <c r="E38" s="2544"/>
      <c r="F38" s="2545"/>
      <c r="G38" s="2546"/>
      <c r="H38" s="2546"/>
      <c r="I38" s="2544"/>
      <c r="J38" s="2545"/>
      <c r="K38" s="2317"/>
      <c r="L38" s="2317"/>
      <c r="M38" s="2317"/>
      <c r="N38" s="2317"/>
      <c r="O38" s="2317"/>
      <c r="P38" s="2317"/>
      <c r="Q38" s="2317"/>
      <c r="R38" s="2317"/>
    </row>
    <row r="39" spans="1:19" ht="12.75" customHeight="1" x14ac:dyDescent="0.25">
      <c r="A39" s="2541" t="s">
        <v>2111</v>
      </c>
      <c r="B39" s="2542"/>
      <c r="C39" s="2602" t="s">
        <v>2678</v>
      </c>
      <c r="D39" s="2602">
        <v>88</v>
      </c>
      <c r="E39" s="2602">
        <v>112.92</v>
      </c>
      <c r="F39" s="2603"/>
      <c r="G39" s="2604">
        <v>126.74</v>
      </c>
      <c r="H39" s="2604">
        <v>84.33</v>
      </c>
      <c r="I39" s="2602">
        <f>H39*1.059</f>
        <v>89.30547</v>
      </c>
      <c r="J39" s="2603">
        <f>I39*1.056</f>
        <v>94.306576320000005</v>
      </c>
      <c r="K39" s="1328"/>
      <c r="L39" s="1328"/>
      <c r="M39" s="1328"/>
      <c r="N39" s="1328"/>
      <c r="O39" s="1328"/>
      <c r="P39" s="1328"/>
      <c r="Q39" s="1328"/>
      <c r="R39" s="1328"/>
      <c r="S39" s="210">
        <f>SUM(C39:R39)</f>
        <v>595.60204632</v>
      </c>
    </row>
    <row r="40" spans="1:19" ht="12.75" customHeight="1" x14ac:dyDescent="0.25">
      <c r="A40" s="2541" t="s">
        <v>2112</v>
      </c>
      <c r="B40" s="2542"/>
      <c r="C40" s="2602">
        <v>0</v>
      </c>
      <c r="D40" s="2602">
        <v>0</v>
      </c>
      <c r="E40" s="2602">
        <v>0</v>
      </c>
      <c r="F40" s="2603"/>
      <c r="G40" s="2604">
        <v>0</v>
      </c>
      <c r="H40" s="2604"/>
      <c r="I40" s="2602"/>
      <c r="J40" s="2603"/>
      <c r="K40" s="1328"/>
      <c r="L40" s="1328"/>
      <c r="M40" s="1328"/>
      <c r="N40" s="1328"/>
      <c r="O40" s="1328"/>
      <c r="P40" s="1328"/>
      <c r="Q40" s="1328"/>
      <c r="R40" s="1328"/>
      <c r="S40" s="210">
        <f>SUM(C40:R40)</f>
        <v>0</v>
      </c>
    </row>
    <row r="41" spans="1:19" ht="12.75" customHeight="1" x14ac:dyDescent="0.25">
      <c r="A41" s="2541" t="s">
        <v>2113</v>
      </c>
      <c r="B41" s="2542"/>
      <c r="C41" s="2602">
        <v>0</v>
      </c>
      <c r="D41" s="2602">
        <v>0</v>
      </c>
      <c r="E41" s="2602">
        <v>0</v>
      </c>
      <c r="F41" s="2603"/>
      <c r="G41" s="2604">
        <v>0</v>
      </c>
      <c r="H41" s="2604"/>
      <c r="I41" s="2602"/>
      <c r="J41" s="2603"/>
      <c r="K41" s="2318"/>
      <c r="L41" s="2318"/>
      <c r="M41" s="2318"/>
      <c r="N41" s="2318"/>
      <c r="O41" s="2318"/>
      <c r="P41" s="2318"/>
      <c r="Q41" s="2318"/>
      <c r="R41" s="2318"/>
    </row>
    <row r="42" spans="1:19" ht="12.75" customHeight="1" x14ac:dyDescent="0.25">
      <c r="A42" s="1267" t="s">
        <v>2114</v>
      </c>
      <c r="B42" s="2542"/>
      <c r="C42" s="2602" t="s">
        <v>2679</v>
      </c>
      <c r="D42" s="2602" t="s">
        <v>2681</v>
      </c>
      <c r="E42" s="2602" t="s">
        <v>2681</v>
      </c>
      <c r="F42" s="2603"/>
      <c r="G42" s="2604" t="s">
        <v>2681</v>
      </c>
      <c r="H42" s="2604" t="s">
        <v>2681</v>
      </c>
      <c r="I42" s="2604" t="s">
        <v>2681</v>
      </c>
      <c r="J42" s="2604" t="s">
        <v>2681</v>
      </c>
      <c r="K42" s="2319"/>
      <c r="L42" s="2319"/>
      <c r="M42" s="2319"/>
      <c r="N42" s="2319"/>
      <c r="O42" s="2319"/>
      <c r="P42" s="2319"/>
      <c r="Q42" s="2319"/>
      <c r="R42" s="2319"/>
    </row>
    <row r="43" spans="1:19" ht="12.75" customHeight="1" x14ac:dyDescent="0.25">
      <c r="A43" s="1267" t="s">
        <v>2116</v>
      </c>
      <c r="B43" s="2542"/>
      <c r="C43" s="2602" t="s">
        <v>2679</v>
      </c>
      <c r="D43" s="2602" t="s">
        <v>2681</v>
      </c>
      <c r="E43" s="2602" t="s">
        <v>2681</v>
      </c>
      <c r="F43" s="2603"/>
      <c r="G43" s="2604" t="s">
        <v>2681</v>
      </c>
      <c r="H43" s="2604" t="s">
        <v>2681</v>
      </c>
      <c r="I43" s="2604" t="s">
        <v>2681</v>
      </c>
      <c r="J43" s="2604" t="s">
        <v>2681</v>
      </c>
      <c r="K43" s="2319"/>
      <c r="L43" s="2319"/>
      <c r="M43" s="2319"/>
      <c r="N43" s="2319"/>
      <c r="O43" s="2319"/>
      <c r="P43" s="2319"/>
      <c r="Q43" s="2319"/>
      <c r="R43" s="2319"/>
    </row>
    <row r="44" spans="1:19" ht="12.75" customHeight="1" x14ac:dyDescent="0.25">
      <c r="A44" s="1267" t="s">
        <v>2118</v>
      </c>
      <c r="B44" s="2542"/>
      <c r="C44" s="2602"/>
      <c r="D44" s="2602"/>
      <c r="E44" s="2602"/>
      <c r="F44" s="2603"/>
      <c r="G44" s="2604"/>
      <c r="H44" s="2604"/>
      <c r="I44" s="2602"/>
      <c r="J44" s="2603"/>
      <c r="K44" s="2319"/>
      <c r="L44" s="2319"/>
      <c r="M44" s="2319"/>
      <c r="N44" s="2319"/>
      <c r="O44" s="2319"/>
      <c r="P44" s="2319"/>
      <c r="Q44" s="2319"/>
      <c r="R44" s="2319"/>
    </row>
    <row r="45" spans="1:19" ht="12.75" customHeight="1" x14ac:dyDescent="0.25">
      <c r="A45" s="1267" t="s">
        <v>2119</v>
      </c>
      <c r="B45" s="2542"/>
      <c r="C45" s="2602">
        <v>0</v>
      </c>
      <c r="D45" s="2602"/>
      <c r="E45" s="2602"/>
      <c r="F45" s="2603"/>
      <c r="G45" s="2604"/>
      <c r="H45" s="2604"/>
      <c r="I45" s="2602"/>
      <c r="J45" s="2603"/>
      <c r="K45" s="2319"/>
      <c r="L45" s="2319"/>
      <c r="M45" s="2319"/>
      <c r="N45" s="2319"/>
      <c r="O45" s="2319"/>
      <c r="P45" s="2319"/>
      <c r="Q45" s="2319"/>
      <c r="R45" s="2319"/>
    </row>
    <row r="46" spans="1:19" ht="12.75" customHeight="1" x14ac:dyDescent="0.25">
      <c r="A46" s="1267" t="s">
        <v>2120</v>
      </c>
      <c r="B46" s="2542"/>
      <c r="C46" s="2602">
        <v>0</v>
      </c>
      <c r="D46" s="2602"/>
      <c r="E46" s="2602"/>
      <c r="F46" s="2603"/>
      <c r="G46" s="2604"/>
      <c r="H46" s="2604"/>
      <c r="I46" s="2602"/>
      <c r="J46" s="2603"/>
      <c r="K46" s="2319"/>
      <c r="L46" s="2319"/>
      <c r="M46" s="2319"/>
      <c r="N46" s="2319"/>
      <c r="O46" s="2319"/>
      <c r="P46" s="2319"/>
      <c r="Q46" s="2319"/>
      <c r="R46" s="2319"/>
    </row>
    <row r="47" spans="1:19" ht="12.75" customHeight="1" x14ac:dyDescent="0.25">
      <c r="A47" s="1266" t="s">
        <v>292</v>
      </c>
      <c r="B47" s="2542">
        <v>2</v>
      </c>
      <c r="C47" s="2602" t="s">
        <v>2680</v>
      </c>
      <c r="D47" s="2602">
        <v>88</v>
      </c>
      <c r="E47" s="2602">
        <v>282.29000000000002</v>
      </c>
      <c r="F47" s="2603"/>
      <c r="G47" s="2604">
        <v>317.48</v>
      </c>
      <c r="H47" s="2604">
        <v>335.89</v>
      </c>
      <c r="I47" s="2602">
        <f>H47*1.059</f>
        <v>355.70750999999996</v>
      </c>
      <c r="J47" s="2603">
        <f>I47*1.056</f>
        <v>375.62713055999996</v>
      </c>
      <c r="K47" s="2319"/>
      <c r="L47" s="2319"/>
      <c r="M47" s="2319"/>
      <c r="N47" s="2319"/>
      <c r="O47" s="2319"/>
      <c r="P47" s="2319"/>
      <c r="Q47" s="2319"/>
      <c r="R47" s="2319"/>
    </row>
    <row r="48" spans="1:19" ht="4.5" customHeight="1" x14ac:dyDescent="0.25">
      <c r="A48" s="1216"/>
      <c r="B48" s="2542"/>
      <c r="C48" s="2543"/>
      <c r="D48" s="2544"/>
      <c r="E48" s="2544"/>
      <c r="F48" s="2545"/>
      <c r="G48" s="2546"/>
      <c r="H48" s="2546"/>
      <c r="I48" s="2544"/>
      <c r="J48" s="2545"/>
      <c r="K48" s="261"/>
      <c r="L48" s="261"/>
      <c r="M48" s="261"/>
      <c r="N48" s="261"/>
      <c r="O48" s="261"/>
      <c r="P48" s="261"/>
      <c r="Q48" s="261"/>
      <c r="R48" s="261"/>
    </row>
    <row r="49" spans="1:18" ht="12.75" customHeight="1" x14ac:dyDescent="0.25">
      <c r="A49" s="2536" t="s">
        <v>2121</v>
      </c>
      <c r="B49" s="2542"/>
      <c r="C49" s="2543"/>
      <c r="D49" s="2544"/>
      <c r="E49" s="2544"/>
      <c r="F49" s="2545"/>
      <c r="G49" s="2546"/>
      <c r="H49" s="2546"/>
      <c r="I49" s="2544"/>
      <c r="J49" s="2545"/>
      <c r="K49" s="363"/>
      <c r="L49" s="363"/>
      <c r="M49" s="363"/>
      <c r="N49" s="363"/>
      <c r="O49" s="363"/>
      <c r="P49" s="363"/>
      <c r="Q49" s="363"/>
      <c r="R49" s="363"/>
    </row>
    <row r="50" spans="1:18" s="1058" customFormat="1" ht="12.75" customHeight="1" x14ac:dyDescent="0.25">
      <c r="A50" s="2547" t="s">
        <v>2110</v>
      </c>
      <c r="B50" s="2542"/>
      <c r="C50" s="2543"/>
      <c r="D50" s="2544"/>
      <c r="E50" s="2544"/>
      <c r="F50" s="2545"/>
      <c r="G50" s="2546"/>
      <c r="H50" s="2546"/>
      <c r="I50" s="2544"/>
      <c r="J50" s="2545"/>
      <c r="K50" s="1035"/>
      <c r="L50" s="1035"/>
      <c r="M50" s="1035"/>
      <c r="N50" s="1035"/>
      <c r="O50" s="1035"/>
      <c r="P50" s="1035"/>
      <c r="Q50" s="1035"/>
      <c r="R50" s="1035"/>
    </row>
    <row r="51" spans="1:18" s="1058" customFormat="1" ht="12.75" customHeight="1" x14ac:dyDescent="0.25">
      <c r="A51" s="2541" t="s">
        <v>2111</v>
      </c>
      <c r="B51" s="2542"/>
      <c r="C51" s="2602" t="s">
        <v>2682</v>
      </c>
      <c r="D51" s="2602">
        <v>30</v>
      </c>
      <c r="E51" s="2602">
        <v>52.69</v>
      </c>
      <c r="F51" s="2603"/>
      <c r="G51" s="2604">
        <v>59.26</v>
      </c>
      <c r="H51" s="2604">
        <v>62.7</v>
      </c>
      <c r="I51" s="2602">
        <f>H51*1.059</f>
        <v>66.399299999999997</v>
      </c>
      <c r="J51" s="2603">
        <f>I51*1.056</f>
        <v>70.117660799999996</v>
      </c>
      <c r="K51" s="1035"/>
      <c r="L51" s="1035"/>
      <c r="M51" s="1035"/>
      <c r="N51" s="1035"/>
      <c r="O51" s="1035"/>
      <c r="P51" s="1035"/>
      <c r="Q51" s="1035"/>
      <c r="R51" s="1035"/>
    </row>
    <row r="52" spans="1:18" s="1058" customFormat="1" ht="12.75" customHeight="1" x14ac:dyDescent="0.25">
      <c r="A52" s="2541" t="s">
        <v>2112</v>
      </c>
      <c r="B52" s="2542"/>
      <c r="C52" s="2602"/>
      <c r="D52" s="2602">
        <v>0</v>
      </c>
      <c r="E52" s="2602">
        <v>0</v>
      </c>
      <c r="F52" s="2603"/>
      <c r="G52" s="2604"/>
      <c r="H52" s="2604"/>
      <c r="I52" s="2602">
        <f t="shared" ref="I52:I58" si="4">H52*1.059</f>
        <v>0</v>
      </c>
      <c r="J52" s="2603">
        <f t="shared" ref="J52:J58" si="5">I52*1.056</f>
        <v>0</v>
      </c>
      <c r="K52" s="1035"/>
      <c r="L52" s="1035"/>
      <c r="M52" s="1035"/>
      <c r="N52" s="1035"/>
      <c r="O52" s="1035"/>
      <c r="P52" s="1035"/>
      <c r="Q52" s="1035"/>
      <c r="R52" s="1035"/>
    </row>
    <row r="53" spans="1:18" s="1058" customFormat="1" ht="12.75" customHeight="1" x14ac:dyDescent="0.25">
      <c r="A53" s="2541" t="s">
        <v>2122</v>
      </c>
      <c r="B53" s="2542"/>
      <c r="C53" s="2602"/>
      <c r="D53" s="2602">
        <v>0</v>
      </c>
      <c r="E53" s="2602">
        <v>0</v>
      </c>
      <c r="F53" s="2603"/>
      <c r="G53" s="2604"/>
      <c r="H53" s="2604"/>
      <c r="I53" s="2602">
        <f t="shared" si="4"/>
        <v>0</v>
      </c>
      <c r="J53" s="2603">
        <f t="shared" si="5"/>
        <v>0</v>
      </c>
      <c r="K53" s="1035"/>
      <c r="L53" s="1035"/>
      <c r="M53" s="1035"/>
      <c r="N53" s="1035"/>
      <c r="O53" s="1035"/>
      <c r="P53" s="1035"/>
      <c r="Q53" s="1035"/>
      <c r="R53" s="1035"/>
    </row>
    <row r="54" spans="1:18" s="1058" customFormat="1" ht="12.75" customHeight="1" x14ac:dyDescent="0.25">
      <c r="A54" s="2541" t="s">
        <v>2123</v>
      </c>
      <c r="B54" s="2542"/>
      <c r="C54" s="2602" t="s">
        <v>2683</v>
      </c>
      <c r="D54" s="2602">
        <v>130</v>
      </c>
      <c r="E54" s="2602">
        <v>131.72999999999999</v>
      </c>
      <c r="F54" s="2603"/>
      <c r="G54" s="2604">
        <v>148.15</v>
      </c>
      <c r="H54" s="2604">
        <v>391.86257196239984</v>
      </c>
      <c r="I54" s="2602">
        <f t="shared" si="4"/>
        <v>414.9824637081814</v>
      </c>
      <c r="J54" s="2603">
        <f t="shared" si="5"/>
        <v>438.22148167583958</v>
      </c>
      <c r="K54" s="1035"/>
      <c r="L54" s="1035"/>
      <c r="M54" s="1035"/>
      <c r="N54" s="1035"/>
      <c r="O54" s="1035"/>
      <c r="P54" s="1035"/>
      <c r="Q54" s="1035"/>
      <c r="R54" s="1035"/>
    </row>
    <row r="55" spans="1:18" s="1058" customFormat="1" ht="12.75" customHeight="1" x14ac:dyDescent="0.25">
      <c r="A55" s="2541" t="s">
        <v>2125</v>
      </c>
      <c r="B55" s="2542"/>
      <c r="C55" s="2602" t="s">
        <v>2684</v>
      </c>
      <c r="D55" s="2602">
        <v>50</v>
      </c>
      <c r="E55" s="2602">
        <v>131.72999999999999</v>
      </c>
      <c r="F55" s="2603"/>
      <c r="G55" s="2604">
        <v>148.15</v>
      </c>
      <c r="H55" s="2604">
        <v>156.74145917760001</v>
      </c>
      <c r="I55" s="2602">
        <f t="shared" si="4"/>
        <v>165.98920526907841</v>
      </c>
      <c r="J55" s="2603">
        <f t="shared" si="5"/>
        <v>175.2846007641468</v>
      </c>
      <c r="K55" s="1035"/>
      <c r="L55" s="1035"/>
      <c r="M55" s="1035"/>
      <c r="N55" s="1035"/>
      <c r="O55" s="1035"/>
      <c r="P55" s="1035"/>
      <c r="Q55" s="1035"/>
      <c r="R55" s="1035"/>
    </row>
    <row r="56" spans="1:18" s="1058" customFormat="1" ht="12.75" customHeight="1" x14ac:dyDescent="0.25">
      <c r="A56" s="2541" t="s">
        <v>2126</v>
      </c>
      <c r="B56" s="2542"/>
      <c r="C56" s="2602" t="s">
        <v>2685</v>
      </c>
      <c r="D56" s="2602">
        <v>50</v>
      </c>
      <c r="E56" s="2602">
        <v>131.72999999999999</v>
      </c>
      <c r="F56" s="2603"/>
      <c r="G56" s="2604">
        <v>148.15</v>
      </c>
      <c r="H56" s="2604">
        <v>156.74502878495997</v>
      </c>
      <c r="I56" s="2602">
        <f t="shared" si="4"/>
        <v>165.99298548327261</v>
      </c>
      <c r="J56" s="2603">
        <f t="shared" si="5"/>
        <v>175.28859267033587</v>
      </c>
      <c r="K56" s="1035"/>
      <c r="L56" s="1035"/>
      <c r="M56" s="1035"/>
      <c r="N56" s="1035"/>
      <c r="O56" s="1035"/>
      <c r="P56" s="1035"/>
      <c r="Q56" s="1035"/>
      <c r="R56" s="1035"/>
    </row>
    <row r="57" spans="1:18" ht="12.75" customHeight="1" x14ac:dyDescent="0.25">
      <c r="A57" s="2541" t="s">
        <v>2127</v>
      </c>
      <c r="B57" s="2542"/>
      <c r="C57" s="2602" t="s">
        <v>2124</v>
      </c>
      <c r="D57" s="2602"/>
      <c r="E57" s="2602">
        <v>0</v>
      </c>
      <c r="F57" s="2603"/>
      <c r="G57" s="2604"/>
      <c r="H57" s="2604"/>
      <c r="I57" s="2602">
        <f t="shared" si="4"/>
        <v>0</v>
      </c>
      <c r="J57" s="2603">
        <f t="shared" si="5"/>
        <v>0</v>
      </c>
      <c r="K57" s="930"/>
      <c r="L57" s="930"/>
      <c r="M57" s="930"/>
      <c r="N57" s="930"/>
      <c r="O57" s="930"/>
      <c r="P57" s="930"/>
      <c r="Q57" s="930"/>
      <c r="R57" s="930"/>
    </row>
    <row r="58" spans="1:18" ht="12.75" customHeight="1" x14ac:dyDescent="0.25">
      <c r="A58" s="1266" t="s">
        <v>292</v>
      </c>
      <c r="B58" s="2542">
        <v>2</v>
      </c>
      <c r="C58" s="2602" t="s">
        <v>2686</v>
      </c>
      <c r="D58" s="2602">
        <v>350</v>
      </c>
      <c r="E58" s="2602">
        <v>329.33</v>
      </c>
      <c r="F58" s="2603"/>
      <c r="G58" s="2604">
        <v>370.38</v>
      </c>
      <c r="H58" s="2604">
        <v>156.74502878495997</v>
      </c>
      <c r="I58" s="2602">
        <f t="shared" si="4"/>
        <v>165.99298548327261</v>
      </c>
      <c r="J58" s="2603">
        <f t="shared" si="5"/>
        <v>175.28859267033587</v>
      </c>
      <c r="K58" s="2300"/>
      <c r="L58" s="2300"/>
      <c r="M58" s="2300"/>
      <c r="N58" s="2300"/>
      <c r="O58" s="2300"/>
      <c r="P58" s="2300"/>
      <c r="Q58" s="2300"/>
      <c r="R58" s="2300"/>
    </row>
    <row r="59" spans="1:18" ht="4.5" customHeight="1" x14ac:dyDescent="0.25">
      <c r="A59" s="2553"/>
      <c r="B59" s="2543"/>
      <c r="C59" s="2543"/>
      <c r="D59" s="2544"/>
      <c r="E59" s="2544"/>
      <c r="F59" s="2545"/>
      <c r="G59" s="2546"/>
      <c r="H59" s="2546"/>
      <c r="I59" s="2544"/>
      <c r="J59" s="2545"/>
      <c r="K59" s="238"/>
      <c r="L59" s="238"/>
      <c r="M59" s="238"/>
      <c r="N59" s="238"/>
      <c r="O59" s="238"/>
      <c r="P59" s="238"/>
      <c r="Q59" s="238"/>
      <c r="R59" s="238"/>
    </row>
    <row r="60" spans="1:18" ht="12.75" customHeight="1" x14ac:dyDescent="0.25">
      <c r="A60" s="2536" t="s">
        <v>2128</v>
      </c>
      <c r="B60" s="2542"/>
      <c r="C60" s="2543"/>
      <c r="D60" s="2544"/>
      <c r="E60" s="2544"/>
      <c r="F60" s="2545"/>
      <c r="G60" s="2546"/>
      <c r="H60" s="2546"/>
      <c r="I60" s="2544"/>
      <c r="J60" s="2545"/>
      <c r="K60" s="238"/>
      <c r="L60" s="238"/>
      <c r="M60" s="238"/>
      <c r="N60" s="238"/>
      <c r="O60" s="238"/>
      <c r="P60" s="238"/>
      <c r="Q60" s="238"/>
      <c r="R60" s="238"/>
    </row>
    <row r="61" spans="1:18" ht="12.75" customHeight="1" x14ac:dyDescent="0.25">
      <c r="A61" s="2547" t="s">
        <v>2110</v>
      </c>
      <c r="B61" s="2542"/>
      <c r="C61" s="2543"/>
      <c r="D61" s="2544"/>
      <c r="E61" s="2544"/>
      <c r="F61" s="2545"/>
      <c r="G61" s="2546"/>
      <c r="H61" s="2546"/>
      <c r="I61" s="2544"/>
      <c r="J61" s="2545"/>
      <c r="K61" s="2091"/>
      <c r="L61" s="2091"/>
      <c r="M61" s="2091"/>
      <c r="N61" s="2091"/>
      <c r="O61" s="2091"/>
      <c r="P61" s="2091"/>
      <c r="Q61" s="2091"/>
      <c r="R61" s="2091"/>
    </row>
    <row r="62" spans="1:18" ht="12.75" customHeight="1" x14ac:dyDescent="0.25">
      <c r="A62" s="2541" t="s">
        <v>2111</v>
      </c>
      <c r="B62" s="2542"/>
      <c r="C62" s="2602"/>
      <c r="D62" s="2602">
        <v>0</v>
      </c>
      <c r="E62" s="2602">
        <v>0</v>
      </c>
      <c r="F62" s="2602">
        <v>0</v>
      </c>
      <c r="G62" s="2602">
        <v>0</v>
      </c>
      <c r="H62" s="2602">
        <v>0</v>
      </c>
      <c r="I62" s="2602">
        <v>0</v>
      </c>
      <c r="J62" s="2602">
        <v>0</v>
      </c>
      <c r="K62" s="2091"/>
      <c r="L62" s="2091"/>
      <c r="M62" s="2091"/>
      <c r="N62" s="2091"/>
      <c r="O62" s="2091"/>
      <c r="P62" s="2091"/>
      <c r="Q62" s="2091"/>
      <c r="R62" s="2091"/>
    </row>
    <row r="63" spans="1:18" ht="12.75" customHeight="1" x14ac:dyDescent="0.25">
      <c r="A63" s="2541" t="s">
        <v>2129</v>
      </c>
      <c r="B63" s="2542"/>
      <c r="C63" s="2602"/>
      <c r="D63" s="2602">
        <v>0</v>
      </c>
      <c r="E63" s="2602">
        <v>0</v>
      </c>
      <c r="F63" s="2603">
        <v>0</v>
      </c>
      <c r="G63" s="2604">
        <v>0</v>
      </c>
      <c r="H63" s="2604">
        <v>0</v>
      </c>
      <c r="I63" s="2602">
        <v>0</v>
      </c>
      <c r="J63" s="2603">
        <v>0</v>
      </c>
      <c r="K63" s="2091"/>
      <c r="L63" s="2091"/>
      <c r="M63" s="2091"/>
      <c r="N63" s="2091"/>
      <c r="O63" s="2091"/>
      <c r="P63" s="2091"/>
      <c r="Q63" s="2091"/>
      <c r="R63" s="2091"/>
    </row>
    <row r="64" spans="1:18" ht="12.75" customHeight="1" x14ac:dyDescent="0.25">
      <c r="A64" s="2554" t="s">
        <v>2130</v>
      </c>
      <c r="B64" s="2542"/>
      <c r="C64" s="2602" t="s">
        <v>2131</v>
      </c>
      <c r="D64" s="2602">
        <v>0</v>
      </c>
      <c r="E64" s="2602">
        <v>0</v>
      </c>
      <c r="F64" s="2603">
        <v>0</v>
      </c>
      <c r="G64" s="2604">
        <v>0</v>
      </c>
      <c r="H64" s="2604">
        <v>0</v>
      </c>
      <c r="I64" s="2602">
        <v>0</v>
      </c>
      <c r="J64" s="2603">
        <v>0</v>
      </c>
      <c r="K64" s="2091"/>
      <c r="L64" s="2091"/>
      <c r="M64" s="2091"/>
      <c r="N64" s="2091"/>
      <c r="O64" s="2091"/>
      <c r="P64" s="2091"/>
      <c r="Q64" s="2091"/>
      <c r="R64" s="2091"/>
    </row>
    <row r="65" spans="1:18" ht="12.75" customHeight="1" x14ac:dyDescent="0.25">
      <c r="A65" s="2541" t="s">
        <v>2151</v>
      </c>
      <c r="B65" s="2542"/>
      <c r="C65" s="2602" t="s">
        <v>2115</v>
      </c>
      <c r="D65" s="2602">
        <v>0</v>
      </c>
      <c r="E65" s="2602">
        <v>0</v>
      </c>
      <c r="F65" s="2603">
        <v>0</v>
      </c>
      <c r="G65" s="2604">
        <v>0</v>
      </c>
      <c r="H65" s="2604">
        <v>0</v>
      </c>
      <c r="I65" s="2602">
        <v>0</v>
      </c>
      <c r="J65" s="2603">
        <v>0</v>
      </c>
      <c r="K65" s="2091"/>
      <c r="L65" s="2091"/>
      <c r="M65" s="2091"/>
      <c r="N65" s="2091"/>
      <c r="O65" s="2091"/>
      <c r="P65" s="2091"/>
      <c r="Q65" s="2091"/>
      <c r="R65" s="2091"/>
    </row>
    <row r="66" spans="1:18" ht="12.75" customHeight="1" x14ac:dyDescent="0.25">
      <c r="A66" s="2541" t="s">
        <v>2152</v>
      </c>
      <c r="B66" s="2542"/>
      <c r="C66" s="2602" t="s">
        <v>2115</v>
      </c>
      <c r="D66" s="2602">
        <v>0</v>
      </c>
      <c r="E66" s="2602">
        <v>0</v>
      </c>
      <c r="F66" s="2603">
        <v>0</v>
      </c>
      <c r="G66" s="2604">
        <v>0</v>
      </c>
      <c r="H66" s="2604">
        <v>0</v>
      </c>
      <c r="I66" s="2602">
        <v>0</v>
      </c>
      <c r="J66" s="2603">
        <v>0</v>
      </c>
      <c r="K66" s="2091"/>
      <c r="L66" s="2091"/>
      <c r="M66" s="2091"/>
      <c r="N66" s="2091"/>
      <c r="O66" s="2091"/>
      <c r="P66" s="2091"/>
      <c r="Q66" s="2091"/>
      <c r="R66" s="2091"/>
    </row>
    <row r="67" spans="1:18" ht="12.75" customHeight="1" x14ac:dyDescent="0.25">
      <c r="A67" s="2541" t="s">
        <v>2153</v>
      </c>
      <c r="B67" s="2542"/>
      <c r="C67" s="2602"/>
      <c r="D67" s="2602">
        <v>0</v>
      </c>
      <c r="E67" s="2602">
        <v>0</v>
      </c>
      <c r="F67" s="2603">
        <v>0</v>
      </c>
      <c r="G67" s="2604">
        <v>0</v>
      </c>
      <c r="H67" s="2604">
        <v>0</v>
      </c>
      <c r="I67" s="2602">
        <v>0</v>
      </c>
      <c r="J67" s="2603">
        <v>0</v>
      </c>
      <c r="K67" s="2091"/>
      <c r="L67" s="2091"/>
      <c r="M67" s="2091"/>
      <c r="N67" s="2091"/>
      <c r="O67" s="2091"/>
      <c r="P67" s="2091"/>
      <c r="Q67" s="2091"/>
      <c r="R67" s="2091"/>
    </row>
    <row r="68" spans="1:18" ht="12.75" customHeight="1" x14ac:dyDescent="0.25">
      <c r="A68" s="2541" t="s">
        <v>2154</v>
      </c>
      <c r="B68" s="2542"/>
      <c r="C68" s="2602"/>
      <c r="D68" s="2602">
        <v>0</v>
      </c>
      <c r="E68" s="2602">
        <v>0</v>
      </c>
      <c r="F68" s="2603">
        <v>0</v>
      </c>
      <c r="G68" s="2604">
        <v>0</v>
      </c>
      <c r="H68" s="2604">
        <v>0</v>
      </c>
      <c r="I68" s="2602">
        <v>0</v>
      </c>
      <c r="J68" s="2603">
        <v>0</v>
      </c>
      <c r="K68" s="2091"/>
      <c r="L68" s="2091"/>
      <c r="M68" s="2091"/>
      <c r="N68" s="2091"/>
      <c r="O68" s="2091"/>
      <c r="P68" s="2091"/>
      <c r="Q68" s="2091"/>
      <c r="R68" s="2091"/>
    </row>
    <row r="69" spans="1:18" ht="12.75" customHeight="1" x14ac:dyDescent="0.25">
      <c r="A69" s="2541" t="s">
        <v>2155</v>
      </c>
      <c r="B69" s="2542"/>
      <c r="C69" s="2602" t="s">
        <v>2132</v>
      </c>
      <c r="D69" s="2602">
        <v>0</v>
      </c>
      <c r="E69" s="2602">
        <v>0</v>
      </c>
      <c r="F69" s="2603">
        <v>0</v>
      </c>
      <c r="G69" s="2604">
        <v>0</v>
      </c>
      <c r="H69" s="2604">
        <v>0</v>
      </c>
      <c r="I69" s="2602">
        <v>0</v>
      </c>
      <c r="J69" s="2603">
        <v>0</v>
      </c>
      <c r="K69" s="2091"/>
      <c r="L69" s="2091"/>
      <c r="M69" s="2091"/>
      <c r="N69" s="2091"/>
      <c r="O69" s="2091"/>
      <c r="P69" s="2091"/>
      <c r="Q69" s="2091"/>
      <c r="R69" s="2091"/>
    </row>
    <row r="70" spans="1:18" ht="12.75" customHeight="1" x14ac:dyDescent="0.25">
      <c r="A70" s="2541" t="s">
        <v>2156</v>
      </c>
      <c r="B70" s="2542"/>
      <c r="C70" s="2602" t="s">
        <v>2132</v>
      </c>
      <c r="D70" s="2602">
        <v>0</v>
      </c>
      <c r="E70" s="2602">
        <v>0</v>
      </c>
      <c r="F70" s="2603">
        <v>0</v>
      </c>
      <c r="G70" s="2604">
        <v>0</v>
      </c>
      <c r="H70" s="2604">
        <v>0</v>
      </c>
      <c r="I70" s="2602">
        <v>0</v>
      </c>
      <c r="J70" s="2603">
        <v>0</v>
      </c>
      <c r="K70" s="2091"/>
      <c r="L70" s="2091"/>
      <c r="M70" s="2091"/>
      <c r="N70" s="2091"/>
      <c r="O70" s="2091"/>
      <c r="P70" s="2091"/>
      <c r="Q70" s="2091"/>
      <c r="R70" s="2091"/>
    </row>
    <row r="71" spans="1:18" ht="12.75" customHeight="1" x14ac:dyDescent="0.25">
      <c r="A71" s="2541" t="s">
        <v>2157</v>
      </c>
      <c r="B71" s="2542"/>
      <c r="C71" s="2602" t="s">
        <v>2132</v>
      </c>
      <c r="D71" s="2602">
        <v>0</v>
      </c>
      <c r="E71" s="2602">
        <v>0</v>
      </c>
      <c r="F71" s="2603">
        <v>0</v>
      </c>
      <c r="G71" s="2604">
        <v>0</v>
      </c>
      <c r="H71" s="2604">
        <v>0</v>
      </c>
      <c r="I71" s="2602">
        <v>0</v>
      </c>
      <c r="J71" s="2603">
        <v>0</v>
      </c>
      <c r="K71" s="2091"/>
      <c r="L71" s="2091"/>
      <c r="M71" s="2091"/>
      <c r="N71" s="2091"/>
      <c r="O71" s="2091"/>
      <c r="P71" s="2091"/>
      <c r="Q71" s="2091"/>
      <c r="R71" s="2091"/>
    </row>
    <row r="72" spans="1:18" ht="12.75" customHeight="1" x14ac:dyDescent="0.25">
      <c r="A72" s="2541" t="s">
        <v>2158</v>
      </c>
      <c r="B72" s="2542"/>
      <c r="C72" s="2602" t="s">
        <v>2132</v>
      </c>
      <c r="D72" s="2602">
        <v>0</v>
      </c>
      <c r="E72" s="2602">
        <v>0</v>
      </c>
      <c r="F72" s="2603">
        <v>0</v>
      </c>
      <c r="G72" s="2604">
        <v>0</v>
      </c>
      <c r="H72" s="2604">
        <v>0</v>
      </c>
      <c r="I72" s="2602">
        <v>0</v>
      </c>
      <c r="J72" s="2603">
        <v>0</v>
      </c>
      <c r="K72" s="2091"/>
      <c r="L72" s="2091"/>
      <c r="M72" s="2091"/>
      <c r="N72" s="2091"/>
      <c r="O72" s="2091"/>
      <c r="P72" s="2091"/>
      <c r="Q72" s="2091"/>
      <c r="R72" s="2091"/>
    </row>
    <row r="73" spans="1:18" ht="12.75" customHeight="1" x14ac:dyDescent="0.25">
      <c r="A73" s="2541" t="s">
        <v>2159</v>
      </c>
      <c r="B73" s="2542"/>
      <c r="C73" s="2602" t="s">
        <v>2132</v>
      </c>
      <c r="D73" s="2602">
        <v>0</v>
      </c>
      <c r="E73" s="2602">
        <v>0</v>
      </c>
      <c r="F73" s="2603">
        <v>0</v>
      </c>
      <c r="G73" s="2604">
        <v>0</v>
      </c>
      <c r="H73" s="2604">
        <v>0</v>
      </c>
      <c r="I73" s="2602">
        <v>0</v>
      </c>
      <c r="J73" s="2603">
        <v>0</v>
      </c>
      <c r="K73" s="2091"/>
      <c r="L73" s="2091"/>
      <c r="M73" s="2091"/>
      <c r="N73" s="2091"/>
      <c r="O73" s="2091"/>
      <c r="P73" s="2091"/>
      <c r="Q73" s="2091"/>
      <c r="R73" s="2091"/>
    </row>
    <row r="74" spans="1:18" ht="12.75" customHeight="1" x14ac:dyDescent="0.25">
      <c r="A74" s="2541" t="s">
        <v>2160</v>
      </c>
      <c r="B74" s="2542"/>
      <c r="C74" s="2602" t="s">
        <v>2132</v>
      </c>
      <c r="D74" s="2602">
        <v>0</v>
      </c>
      <c r="E74" s="2602">
        <v>0</v>
      </c>
      <c r="F74" s="2603">
        <v>0</v>
      </c>
      <c r="G74" s="2604">
        <v>0</v>
      </c>
      <c r="H74" s="2604">
        <v>0</v>
      </c>
      <c r="I74" s="2602">
        <v>0</v>
      </c>
      <c r="J74" s="2603">
        <v>0</v>
      </c>
      <c r="K74" s="2091"/>
      <c r="L74" s="2091"/>
      <c r="M74" s="2091"/>
      <c r="N74" s="2091"/>
      <c r="O74" s="2091"/>
      <c r="P74" s="2091"/>
      <c r="Q74" s="2091"/>
      <c r="R74" s="2091"/>
    </row>
    <row r="75" spans="1:18" ht="12.75" customHeight="1" x14ac:dyDescent="0.25">
      <c r="A75" s="2541" t="s">
        <v>2161</v>
      </c>
      <c r="B75" s="2542"/>
      <c r="C75" s="2602" t="s">
        <v>2132</v>
      </c>
      <c r="D75" s="2602">
        <v>0</v>
      </c>
      <c r="E75" s="2602">
        <v>0</v>
      </c>
      <c r="F75" s="2603">
        <v>0</v>
      </c>
      <c r="G75" s="2604">
        <v>0</v>
      </c>
      <c r="H75" s="2604">
        <v>0</v>
      </c>
      <c r="I75" s="2602">
        <v>0</v>
      </c>
      <c r="J75" s="2603">
        <v>0</v>
      </c>
      <c r="K75" s="2091"/>
      <c r="L75" s="2091"/>
      <c r="M75" s="2091"/>
      <c r="N75" s="2091"/>
      <c r="O75" s="2091"/>
      <c r="P75" s="2091"/>
      <c r="Q75" s="2091"/>
      <c r="R75" s="2091"/>
    </row>
    <row r="76" spans="1:18" ht="12.75" customHeight="1" x14ac:dyDescent="0.25">
      <c r="A76" s="2541" t="s">
        <v>2162</v>
      </c>
      <c r="B76" s="2542"/>
      <c r="C76" s="2602" t="s">
        <v>2132</v>
      </c>
      <c r="D76" s="2602">
        <v>0</v>
      </c>
      <c r="E76" s="2602">
        <v>0</v>
      </c>
      <c r="F76" s="2603">
        <v>0</v>
      </c>
      <c r="G76" s="2604">
        <v>0</v>
      </c>
      <c r="H76" s="2604">
        <v>0</v>
      </c>
      <c r="I76" s="2602">
        <v>0</v>
      </c>
      <c r="J76" s="2603">
        <v>0</v>
      </c>
      <c r="K76" s="2091"/>
      <c r="L76" s="2091"/>
      <c r="M76" s="2091"/>
      <c r="N76" s="2091"/>
      <c r="O76" s="2091"/>
      <c r="P76" s="2091"/>
      <c r="Q76" s="2091"/>
      <c r="R76" s="2091"/>
    </row>
    <row r="77" spans="1:18" ht="12.75" customHeight="1" x14ac:dyDescent="0.25">
      <c r="A77" s="2541" t="s">
        <v>2163</v>
      </c>
      <c r="B77" s="2542"/>
      <c r="C77" s="2602" t="s">
        <v>2132</v>
      </c>
      <c r="D77" s="2602">
        <v>0</v>
      </c>
      <c r="E77" s="2602">
        <v>0</v>
      </c>
      <c r="F77" s="2603">
        <v>0</v>
      </c>
      <c r="G77" s="2604">
        <v>0</v>
      </c>
      <c r="H77" s="2604">
        <v>0</v>
      </c>
      <c r="I77" s="2602">
        <v>0</v>
      </c>
      <c r="J77" s="2603">
        <v>0</v>
      </c>
      <c r="K77" s="2091"/>
      <c r="L77" s="2091"/>
      <c r="M77" s="2091"/>
      <c r="N77" s="2091"/>
      <c r="O77" s="2091"/>
      <c r="P77" s="2091"/>
      <c r="Q77" s="2091"/>
      <c r="R77" s="2091"/>
    </row>
    <row r="78" spans="1:18" ht="12.75" customHeight="1" x14ac:dyDescent="0.25">
      <c r="A78" s="2541" t="s">
        <v>2164</v>
      </c>
      <c r="B78" s="2542"/>
      <c r="C78" s="2602" t="s">
        <v>2132</v>
      </c>
      <c r="D78" s="2602">
        <v>0</v>
      </c>
      <c r="E78" s="2602">
        <v>0</v>
      </c>
      <c r="F78" s="2603">
        <v>0</v>
      </c>
      <c r="G78" s="2604">
        <v>0</v>
      </c>
      <c r="H78" s="2604">
        <v>0</v>
      </c>
      <c r="I78" s="2602">
        <v>0</v>
      </c>
      <c r="J78" s="2603">
        <v>0</v>
      </c>
      <c r="K78" s="2091"/>
      <c r="L78" s="2091"/>
      <c r="M78" s="2091"/>
      <c r="N78" s="2091"/>
      <c r="O78" s="2091"/>
      <c r="P78" s="2091"/>
      <c r="Q78" s="2091"/>
      <c r="R78" s="2091"/>
    </row>
    <row r="79" spans="1:18" ht="12.75" customHeight="1" x14ac:dyDescent="0.25">
      <c r="A79" s="1266" t="s">
        <v>292</v>
      </c>
      <c r="B79" s="2542">
        <v>2</v>
      </c>
      <c r="C79" s="2602"/>
      <c r="D79" s="2602">
        <v>0</v>
      </c>
      <c r="E79" s="2602">
        <v>0</v>
      </c>
      <c r="F79" s="2603">
        <v>0</v>
      </c>
      <c r="G79" s="2604">
        <v>0</v>
      </c>
      <c r="H79" s="2604">
        <v>0</v>
      </c>
      <c r="I79" s="2602">
        <v>0</v>
      </c>
      <c r="J79" s="2603">
        <v>0</v>
      </c>
      <c r="K79" s="2309"/>
      <c r="L79" s="2309"/>
      <c r="M79" s="2309"/>
      <c r="N79" s="2309"/>
      <c r="O79" s="2309"/>
      <c r="P79" s="2309"/>
      <c r="Q79" s="2309"/>
      <c r="R79" s="2309"/>
    </row>
    <row r="80" spans="1:18" ht="5.0999999999999996" customHeight="1" x14ac:dyDescent="0.25">
      <c r="A80" s="2547"/>
      <c r="B80" s="2542"/>
      <c r="C80" s="2542"/>
      <c r="D80" s="2544"/>
      <c r="E80" s="2544"/>
      <c r="F80" s="2545"/>
      <c r="G80" s="2546"/>
      <c r="H80" s="2546"/>
      <c r="I80" s="2544"/>
      <c r="J80" s="2545"/>
      <c r="K80" s="2311"/>
      <c r="L80" s="2311"/>
      <c r="M80" s="2311"/>
      <c r="N80" s="2311"/>
      <c r="O80" s="2311"/>
      <c r="P80" s="2311"/>
      <c r="Q80" s="2311"/>
      <c r="R80" s="2311"/>
    </row>
    <row r="81" spans="1:18" ht="12.75" customHeight="1" x14ac:dyDescent="0.25">
      <c r="A81" s="2536" t="s">
        <v>2133</v>
      </c>
      <c r="B81" s="2542"/>
      <c r="C81" s="2543"/>
      <c r="D81" s="2544"/>
      <c r="E81" s="2544"/>
      <c r="F81" s="2545"/>
      <c r="G81" s="2546"/>
      <c r="H81" s="2546"/>
      <c r="I81" s="2544"/>
      <c r="J81" s="2545"/>
      <c r="K81" s="2312"/>
      <c r="L81" s="2312"/>
      <c r="M81" s="2312"/>
      <c r="N81" s="2312"/>
      <c r="O81" s="2312"/>
      <c r="P81" s="2312"/>
      <c r="Q81" s="2312"/>
      <c r="R81" s="2312"/>
    </row>
    <row r="82" spans="1:18" ht="12.75" customHeight="1" x14ac:dyDescent="0.25">
      <c r="A82" s="2547" t="s">
        <v>2110</v>
      </c>
      <c r="B82" s="2542"/>
      <c r="C82" s="2543"/>
      <c r="D82" s="2544"/>
      <c r="E82" s="2544"/>
      <c r="F82" s="2545"/>
      <c r="G82" s="2546"/>
      <c r="H82" s="2546"/>
      <c r="I82" s="2544"/>
      <c r="J82" s="2545"/>
      <c r="K82" s="2311"/>
      <c r="L82" s="2311"/>
      <c r="M82" s="2311"/>
      <c r="N82" s="2311"/>
      <c r="O82" s="2311"/>
      <c r="P82" s="2311"/>
      <c r="Q82" s="2311"/>
      <c r="R82" s="2311"/>
    </row>
    <row r="83" spans="1:18" ht="12.75" customHeight="1" x14ac:dyDescent="0.25">
      <c r="A83" s="2541" t="s">
        <v>2134</v>
      </c>
      <c r="B83" s="2542"/>
      <c r="C83" s="2602" t="s">
        <v>2664</v>
      </c>
      <c r="D83" s="2602">
        <v>35</v>
      </c>
      <c r="E83" s="2602">
        <v>30.31</v>
      </c>
      <c r="F83" s="2603"/>
      <c r="G83" s="2604">
        <v>37.28</v>
      </c>
      <c r="H83" s="2604">
        <v>39.436949999999996</v>
      </c>
      <c r="I83" s="2602">
        <f>H83*1.059</f>
        <v>41.763730049999992</v>
      </c>
      <c r="J83" s="2603">
        <f>I83*1.056</f>
        <v>44.102498932799996</v>
      </c>
      <c r="K83" s="2311"/>
      <c r="L83" s="2311"/>
      <c r="M83" s="2311"/>
      <c r="N83" s="2311"/>
      <c r="O83" s="2311"/>
      <c r="P83" s="2311"/>
      <c r="Q83" s="2311"/>
      <c r="R83" s="2311"/>
    </row>
    <row r="84" spans="1:18" ht="12.75" customHeight="1" x14ac:dyDescent="0.25">
      <c r="A84" s="2541" t="s">
        <v>2135</v>
      </c>
      <c r="B84" s="2542"/>
      <c r="C84" s="2602" t="s">
        <v>2687</v>
      </c>
      <c r="D84" s="2602">
        <v>150</v>
      </c>
      <c r="E84" s="2602">
        <v>200</v>
      </c>
      <c r="F84" s="2603"/>
      <c r="G84" s="2604">
        <v>213</v>
      </c>
      <c r="H84" s="2604">
        <v>225.35399999999998</v>
      </c>
      <c r="I84" s="2602">
        <f>H84*1.059</f>
        <v>238.64988599999998</v>
      </c>
      <c r="J84" s="2603">
        <f>I84*1.056</f>
        <v>252.01427961599998</v>
      </c>
      <c r="K84" s="2311"/>
      <c r="L84" s="2311"/>
      <c r="M84" s="2311"/>
      <c r="N84" s="2311"/>
      <c r="O84" s="2311"/>
      <c r="P84" s="2311"/>
      <c r="Q84" s="2311"/>
      <c r="R84" s="2311"/>
    </row>
    <row r="85" spans="1:18" ht="12.75" customHeight="1" x14ac:dyDescent="0.25">
      <c r="A85" s="2541" t="s">
        <v>2136</v>
      </c>
      <c r="B85" s="2542"/>
      <c r="C85" s="2602"/>
      <c r="D85" s="2602"/>
      <c r="E85" s="2602"/>
      <c r="F85" s="2603"/>
      <c r="G85" s="2604"/>
      <c r="H85" s="2604"/>
      <c r="I85" s="2602"/>
      <c r="J85" s="2603"/>
      <c r="K85" s="2311"/>
      <c r="L85" s="2311"/>
      <c r="M85" s="2311"/>
      <c r="N85" s="2311"/>
      <c r="O85" s="2311"/>
      <c r="P85" s="2311"/>
      <c r="Q85" s="2311"/>
      <c r="R85" s="2311"/>
    </row>
    <row r="86" spans="1:18" ht="12.75" customHeight="1" x14ac:dyDescent="0.25">
      <c r="A86" s="2541" t="s">
        <v>2137</v>
      </c>
      <c r="B86" s="2542"/>
      <c r="C86" s="2602"/>
      <c r="D86" s="2602"/>
      <c r="E86" s="2602"/>
      <c r="F86" s="2603"/>
      <c r="G86" s="2604"/>
      <c r="H86" s="2604"/>
      <c r="I86" s="2602"/>
      <c r="J86" s="2603"/>
      <c r="K86" s="2311"/>
      <c r="L86" s="2311"/>
      <c r="M86" s="2311"/>
      <c r="N86" s="2311"/>
      <c r="O86" s="2311"/>
      <c r="P86" s="2311"/>
      <c r="Q86" s="2311"/>
      <c r="R86" s="2311"/>
    </row>
    <row r="87" spans="1:18" ht="5.0999999999999996" customHeight="1" x14ac:dyDescent="0.25">
      <c r="A87" s="2555"/>
      <c r="B87" s="2556"/>
      <c r="C87" s="2556"/>
      <c r="D87" s="2557"/>
      <c r="E87" s="2557"/>
      <c r="F87" s="2558"/>
      <c r="G87" s="2559"/>
      <c r="H87" s="2559"/>
      <c r="I87" s="2557"/>
      <c r="J87" s="2558"/>
      <c r="K87" s="2311"/>
      <c r="L87" s="2311"/>
      <c r="M87" s="2311"/>
      <c r="N87" s="2311"/>
      <c r="O87" s="2311"/>
      <c r="P87" s="2311"/>
      <c r="Q87" s="2311"/>
      <c r="R87" s="2311"/>
    </row>
    <row r="88" spans="1:18" ht="11.25" customHeight="1" x14ac:dyDescent="0.25">
      <c r="A88" s="1153" t="str">
        <f>head27a</f>
        <v>References</v>
      </c>
      <c r="B88" s="703"/>
      <c r="C88" s="703"/>
      <c r="D88" s="704"/>
      <c r="E88" s="704"/>
      <c r="F88" s="704"/>
      <c r="G88" s="705"/>
      <c r="H88" s="704"/>
      <c r="I88" s="704"/>
      <c r="J88" s="706"/>
      <c r="K88" s="602"/>
      <c r="L88" s="602"/>
      <c r="M88" s="602"/>
      <c r="N88" s="602"/>
      <c r="O88" s="602"/>
      <c r="P88" s="602"/>
      <c r="Q88" s="602"/>
      <c r="R88" s="602"/>
    </row>
    <row r="89" spans="1:18" ht="11.25" customHeight="1" x14ac:dyDescent="0.25">
      <c r="A89" s="1413" t="s">
        <v>2254</v>
      </c>
      <c r="B89" s="2560"/>
      <c r="C89" s="2560"/>
      <c r="D89" s="1411"/>
      <c r="E89" s="1411"/>
      <c r="F89" s="1411"/>
      <c r="G89" s="1411"/>
      <c r="H89" s="1411"/>
      <c r="I89" s="1411"/>
      <c r="J89" s="1411"/>
      <c r="K89" s="2313"/>
      <c r="L89" s="2313"/>
      <c r="M89" s="2313"/>
      <c r="N89" s="2313"/>
      <c r="O89" s="2313"/>
      <c r="P89" s="2313"/>
      <c r="Q89" s="2313"/>
      <c r="R89" s="2313"/>
    </row>
    <row r="90" spans="1:18" ht="11.25" customHeight="1" x14ac:dyDescent="0.25">
      <c r="A90" s="1413" t="s">
        <v>2260</v>
      </c>
      <c r="B90" s="2560"/>
      <c r="C90" s="2560"/>
      <c r="D90" s="1411"/>
      <c r="E90" s="1411"/>
      <c r="F90" s="1411"/>
      <c r="G90" s="1411"/>
      <c r="H90" s="1411"/>
      <c r="I90" s="1411"/>
      <c r="J90" s="1411"/>
      <c r="K90" s="2313"/>
      <c r="L90" s="2313"/>
      <c r="M90" s="2313"/>
      <c r="N90" s="2313"/>
      <c r="O90" s="2313"/>
      <c r="P90" s="2313"/>
      <c r="Q90" s="2313"/>
      <c r="R90" s="2313"/>
    </row>
    <row r="91" spans="1:18" ht="11.25" customHeight="1" x14ac:dyDescent="0.25">
      <c r="A91" s="2561"/>
      <c r="B91" s="2562"/>
      <c r="C91" s="2563"/>
      <c r="D91" s="2563"/>
      <c r="E91" s="2563"/>
      <c r="F91" s="2563"/>
      <c r="G91" s="2563"/>
      <c r="H91" s="2563"/>
      <c r="I91" s="2563"/>
      <c r="J91" s="2563"/>
      <c r="K91" s="2313"/>
      <c r="L91" s="2313"/>
      <c r="M91" s="2313"/>
      <c r="N91" s="2313"/>
      <c r="O91" s="2313"/>
      <c r="P91" s="2313"/>
      <c r="Q91" s="2313"/>
      <c r="R91" s="2313"/>
    </row>
    <row r="92" spans="1:18" ht="11.25" customHeight="1" x14ac:dyDescent="0.25">
      <c r="A92" s="2301"/>
      <c r="C92" s="2313"/>
      <c r="D92" s="2313"/>
      <c r="E92" s="2313"/>
      <c r="F92" s="2313"/>
      <c r="G92" s="2313"/>
      <c r="H92" s="2313"/>
      <c r="I92" s="2313"/>
      <c r="J92" s="2313"/>
      <c r="K92" s="2313"/>
      <c r="L92" s="2313"/>
      <c r="M92" s="2313"/>
      <c r="N92" s="2313"/>
      <c r="O92" s="2313"/>
      <c r="P92" s="2313"/>
      <c r="Q92" s="2313"/>
      <c r="R92" s="2313"/>
    </row>
    <row r="93" spans="1:18" ht="21" customHeight="1" x14ac:dyDescent="0.25">
      <c r="A93" s="2578"/>
      <c r="B93" s="2311"/>
      <c r="C93" s="2579"/>
      <c r="D93" s="2579"/>
      <c r="E93" s="2579"/>
      <c r="F93" s="2579"/>
      <c r="G93" s="2579"/>
      <c r="H93" s="2579"/>
      <c r="I93" s="2579"/>
      <c r="J93" s="2579"/>
      <c r="K93" s="2579"/>
      <c r="L93" s="2313"/>
      <c r="M93" s="2313"/>
      <c r="N93" s="2313"/>
      <c r="O93" s="2313"/>
      <c r="P93" s="2313"/>
      <c r="Q93" s="2313"/>
      <c r="R93" s="2313"/>
    </row>
    <row r="94" spans="1:18" ht="22.5" customHeight="1" x14ac:dyDescent="0.25">
      <c r="A94" s="2834"/>
      <c r="B94" s="2834"/>
      <c r="C94" s="2833"/>
      <c r="D94" s="2833"/>
      <c r="E94" s="2833"/>
      <c r="F94" s="2833"/>
      <c r="G94" s="2833"/>
      <c r="H94" s="2581"/>
      <c r="I94" s="2581"/>
      <c r="J94" s="2581"/>
      <c r="K94" s="2579"/>
      <c r="L94" s="2313"/>
      <c r="M94" s="2313"/>
      <c r="N94" s="2313"/>
      <c r="O94" s="2313"/>
      <c r="P94" s="2313"/>
      <c r="Q94" s="2313"/>
      <c r="R94" s="2313"/>
    </row>
    <row r="95" spans="1:18" ht="36.75" customHeight="1" x14ac:dyDescent="0.25">
      <c r="A95" s="2834"/>
      <c r="B95" s="2834"/>
      <c r="C95" s="2833"/>
      <c r="D95" s="2833"/>
      <c r="E95" s="2833"/>
      <c r="F95" s="2833"/>
      <c r="G95" s="2833"/>
      <c r="H95" s="2580"/>
      <c r="I95" s="2580"/>
      <c r="J95" s="2580"/>
      <c r="K95" s="2582"/>
      <c r="L95" s="2303"/>
      <c r="M95" s="2303"/>
      <c r="N95" s="2303"/>
      <c r="O95" s="2303"/>
      <c r="P95" s="2303"/>
      <c r="Q95" s="2303"/>
      <c r="R95" s="2303"/>
    </row>
    <row r="96" spans="1:18" ht="21.75" customHeight="1" x14ac:dyDescent="0.25">
      <c r="A96" s="2576"/>
      <c r="B96" s="2572"/>
      <c r="C96" s="2583"/>
      <c r="D96" s="2583"/>
      <c r="E96" s="2583"/>
      <c r="F96" s="2583"/>
      <c r="G96" s="2583"/>
      <c r="H96" s="2583"/>
      <c r="I96" s="2583"/>
      <c r="J96" s="2583"/>
      <c r="K96" s="2584"/>
      <c r="L96" s="2314"/>
      <c r="M96" s="2314"/>
      <c r="N96" s="2314"/>
      <c r="O96" s="2314"/>
      <c r="P96" s="2314"/>
      <c r="Q96" s="2314"/>
      <c r="R96" s="2314"/>
    </row>
    <row r="97" spans="1:18" ht="11.45" customHeight="1" x14ac:dyDescent="0.25">
      <c r="A97" s="2577"/>
      <c r="B97" s="2572"/>
      <c r="C97" s="2583"/>
      <c r="D97" s="2583"/>
      <c r="E97" s="2583"/>
      <c r="F97" s="2583"/>
      <c r="G97" s="2583"/>
      <c r="H97" s="2583"/>
      <c r="I97" s="2583"/>
      <c r="J97" s="2583"/>
      <c r="K97" s="2584"/>
      <c r="L97" s="2314"/>
      <c r="M97" s="2314"/>
      <c r="N97" s="2314"/>
      <c r="O97" s="2314"/>
      <c r="P97" s="2314"/>
      <c r="Q97" s="2314"/>
      <c r="R97" s="2314"/>
    </row>
    <row r="98" spans="1:18" ht="11.45" customHeight="1" x14ac:dyDescent="0.25">
      <c r="A98" s="2577"/>
      <c r="B98" s="2572"/>
      <c r="C98" s="2583"/>
      <c r="D98" s="2583"/>
      <c r="E98" s="2583"/>
      <c r="F98" s="2583"/>
      <c r="G98" s="2583"/>
      <c r="H98" s="2583"/>
      <c r="I98" s="2583"/>
      <c r="J98" s="2583"/>
      <c r="K98" s="2584"/>
      <c r="L98" s="2314"/>
      <c r="M98" s="2314"/>
      <c r="N98" s="2314"/>
      <c r="O98" s="2314"/>
      <c r="P98" s="2314"/>
      <c r="Q98" s="2314"/>
      <c r="R98" s="2314"/>
    </row>
    <row r="99" spans="1:18" ht="11.45" customHeight="1" x14ac:dyDescent="0.25">
      <c r="A99" s="2577"/>
      <c r="B99" s="2572"/>
      <c r="C99" s="2583"/>
      <c r="D99" s="2583"/>
      <c r="E99" s="2583"/>
      <c r="F99" s="2583"/>
      <c r="G99" s="2583"/>
      <c r="H99" s="2583"/>
      <c r="I99" s="2583"/>
      <c r="J99" s="2583"/>
      <c r="K99" s="2584"/>
      <c r="L99" s="2314"/>
      <c r="M99" s="2314"/>
      <c r="N99" s="2314"/>
      <c r="O99" s="2314"/>
      <c r="P99" s="2314"/>
      <c r="Q99" s="2314"/>
      <c r="R99" s="2314"/>
    </row>
    <row r="100" spans="1:18" ht="21" customHeight="1" x14ac:dyDescent="0.25">
      <c r="A100" s="2576"/>
      <c r="B100" s="2572"/>
      <c r="C100" s="2583"/>
      <c r="D100" s="2583"/>
      <c r="E100" s="2583"/>
      <c r="F100" s="2583"/>
      <c r="G100" s="2583"/>
      <c r="H100" s="2583"/>
      <c r="I100" s="2583"/>
      <c r="J100" s="2583"/>
      <c r="K100" s="2584"/>
      <c r="L100" s="2314"/>
      <c r="M100" s="2314"/>
      <c r="N100" s="2314"/>
      <c r="O100" s="2314"/>
      <c r="P100" s="2314"/>
      <c r="Q100" s="2314"/>
      <c r="R100" s="2314"/>
    </row>
    <row r="101" spans="1:18" ht="11.45" customHeight="1" x14ac:dyDescent="0.25">
      <c r="A101" s="2577"/>
      <c r="B101" s="2572"/>
      <c r="C101" s="2583"/>
      <c r="D101" s="2583"/>
      <c r="E101" s="2583"/>
      <c r="F101" s="2583"/>
      <c r="G101" s="2583"/>
      <c r="H101" s="2583"/>
      <c r="I101" s="2583"/>
      <c r="J101" s="2583"/>
      <c r="K101" s="2584"/>
      <c r="L101" s="2314"/>
      <c r="M101" s="2314"/>
      <c r="N101" s="2314"/>
      <c r="O101" s="2314"/>
      <c r="P101" s="2314"/>
      <c r="Q101" s="2314"/>
      <c r="R101" s="2314"/>
    </row>
    <row r="102" spans="1:18" ht="11.45" customHeight="1" x14ac:dyDescent="0.25">
      <c r="A102" s="2577"/>
      <c r="B102" s="2572"/>
      <c r="C102" s="2583"/>
      <c r="D102" s="2583"/>
      <c r="E102" s="2583"/>
      <c r="F102" s="2583"/>
      <c r="G102" s="2583"/>
      <c r="H102" s="2583"/>
      <c r="I102" s="2583"/>
      <c r="J102" s="2583"/>
      <c r="K102" s="2584"/>
      <c r="L102" s="2314"/>
      <c r="M102" s="2314"/>
      <c r="N102" s="2314"/>
      <c r="O102" s="2314"/>
      <c r="P102" s="2314"/>
      <c r="Q102" s="2314"/>
      <c r="R102" s="2314"/>
    </row>
    <row r="103" spans="1:18" ht="11.45" customHeight="1" x14ac:dyDescent="0.25">
      <c r="A103" s="2577"/>
      <c r="B103" s="2572"/>
      <c r="C103" s="2583"/>
      <c r="D103" s="2583"/>
      <c r="E103" s="2583"/>
      <c r="F103" s="2583"/>
      <c r="G103" s="2583"/>
      <c r="H103" s="2583"/>
      <c r="I103" s="2583"/>
      <c r="J103" s="2583"/>
      <c r="K103" s="2584"/>
      <c r="L103" s="2314"/>
      <c r="M103" s="2314"/>
      <c r="N103" s="2314"/>
      <c r="O103" s="2314"/>
      <c r="P103" s="2314"/>
      <c r="Q103" s="2314"/>
      <c r="R103" s="2314"/>
    </row>
    <row r="104" spans="1:18" ht="11.45" customHeight="1" x14ac:dyDescent="0.25">
      <c r="A104" s="2577"/>
      <c r="B104" s="2572"/>
      <c r="C104" s="2583"/>
      <c r="D104" s="2583"/>
      <c r="E104" s="2583"/>
      <c r="F104" s="2583"/>
      <c r="G104" s="2583"/>
      <c r="H104" s="2583"/>
      <c r="I104" s="2583"/>
      <c r="J104" s="2583"/>
      <c r="K104" s="2584"/>
      <c r="L104" s="2314"/>
      <c r="M104" s="2314"/>
      <c r="N104" s="2314"/>
      <c r="O104" s="2314"/>
      <c r="P104" s="2314"/>
      <c r="Q104" s="2314"/>
      <c r="R104" s="2314"/>
    </row>
    <row r="105" spans="1:18" ht="21" customHeight="1" x14ac:dyDescent="0.25">
      <c r="A105" s="2576"/>
      <c r="B105" s="2572"/>
      <c r="C105" s="2583"/>
      <c r="D105" s="2583"/>
      <c r="E105" s="2583"/>
      <c r="F105" s="2583"/>
      <c r="G105" s="2583"/>
      <c r="H105" s="2583"/>
      <c r="I105" s="2583"/>
      <c r="J105" s="2583"/>
      <c r="K105" s="2584"/>
      <c r="L105" s="2314"/>
      <c r="M105" s="2314"/>
      <c r="N105" s="2314"/>
      <c r="O105" s="2314"/>
      <c r="P105" s="2314"/>
      <c r="Q105" s="2314"/>
      <c r="R105" s="2314"/>
    </row>
    <row r="106" spans="1:18" ht="11.45" customHeight="1" x14ac:dyDescent="0.25">
      <c r="A106" s="2577"/>
      <c r="B106" s="2572"/>
      <c r="C106" s="2583"/>
      <c r="D106" s="2583"/>
      <c r="E106" s="2583"/>
      <c r="F106" s="2583"/>
      <c r="G106" s="2583"/>
      <c r="H106" s="2583"/>
      <c r="I106" s="2583"/>
      <c r="J106" s="2583"/>
      <c r="K106" s="2584"/>
      <c r="L106" s="2314"/>
      <c r="M106" s="2314"/>
      <c r="N106" s="2314"/>
      <c r="O106" s="2314"/>
      <c r="P106" s="2314"/>
      <c r="Q106" s="2314"/>
      <c r="R106" s="2314"/>
    </row>
    <row r="107" spans="1:18" ht="11.45" customHeight="1" x14ac:dyDescent="0.25">
      <c r="A107" s="2577"/>
      <c r="B107" s="2572"/>
      <c r="C107" s="2583"/>
      <c r="D107" s="2583"/>
      <c r="E107" s="2583"/>
      <c r="F107" s="2583"/>
      <c r="G107" s="2583"/>
      <c r="H107" s="2583"/>
      <c r="I107" s="2583"/>
      <c r="J107" s="2583"/>
      <c r="K107" s="2584"/>
      <c r="L107" s="2314"/>
      <c r="M107" s="2314"/>
      <c r="N107" s="2314"/>
      <c r="O107" s="2314"/>
      <c r="P107" s="2314"/>
      <c r="Q107" s="2314"/>
      <c r="R107" s="2314"/>
    </row>
    <row r="108" spans="1:18" ht="11.45" customHeight="1" x14ac:dyDescent="0.25">
      <c r="A108" s="2577"/>
      <c r="B108" s="2572"/>
      <c r="C108" s="2583"/>
      <c r="D108" s="2583"/>
      <c r="E108" s="2583"/>
      <c r="F108" s="2583"/>
      <c r="G108" s="2583"/>
      <c r="H108" s="2583"/>
      <c r="I108" s="2583"/>
      <c r="J108" s="2583"/>
      <c r="K108" s="2584"/>
      <c r="L108" s="2314"/>
      <c r="M108" s="2314"/>
      <c r="N108" s="2314"/>
      <c r="O108" s="2314"/>
      <c r="P108" s="2314"/>
      <c r="Q108" s="2314"/>
      <c r="R108" s="2314"/>
    </row>
    <row r="109" spans="1:18" ht="21" customHeight="1" x14ac:dyDescent="0.25">
      <c r="A109" s="2576"/>
      <c r="B109" s="2572"/>
      <c r="C109" s="2583"/>
      <c r="D109" s="2583"/>
      <c r="E109" s="2583"/>
      <c r="F109" s="2583"/>
      <c r="G109" s="2583"/>
      <c r="H109" s="2583"/>
      <c r="I109" s="2583"/>
      <c r="J109" s="2583"/>
      <c r="K109" s="2585"/>
      <c r="L109" s="2316"/>
      <c r="M109" s="2316"/>
      <c r="N109" s="2316"/>
      <c r="O109" s="2316"/>
      <c r="P109" s="2316"/>
      <c r="Q109" s="2316"/>
      <c r="R109" s="2316"/>
    </row>
    <row r="110" spans="1:18" ht="11.45" customHeight="1" x14ac:dyDescent="0.25">
      <c r="A110" s="2577"/>
      <c r="B110" s="2572"/>
      <c r="C110" s="2583"/>
      <c r="D110" s="2583"/>
      <c r="E110" s="2583"/>
      <c r="F110" s="2583"/>
      <c r="G110" s="2583"/>
      <c r="H110" s="2583"/>
      <c r="I110" s="2583"/>
      <c r="J110" s="2583"/>
      <c r="K110" s="2585"/>
      <c r="L110" s="2316"/>
      <c r="M110" s="2316"/>
      <c r="N110" s="2316"/>
      <c r="O110" s="2316"/>
      <c r="P110" s="2316"/>
      <c r="Q110" s="2316"/>
      <c r="R110" s="2316"/>
    </row>
    <row r="111" spans="1:18" ht="11.45" customHeight="1" x14ac:dyDescent="0.25">
      <c r="A111" s="2577"/>
      <c r="B111" s="2572"/>
      <c r="C111" s="2583"/>
      <c r="D111" s="2583"/>
      <c r="E111" s="2583"/>
      <c r="F111" s="2583"/>
      <c r="G111" s="2583"/>
      <c r="H111" s="2583"/>
      <c r="I111" s="2583"/>
      <c r="J111" s="2583"/>
      <c r="K111" s="2585"/>
      <c r="L111" s="2316"/>
      <c r="M111" s="2316"/>
      <c r="N111" s="2316"/>
      <c r="O111" s="2316"/>
      <c r="P111" s="2316"/>
      <c r="Q111" s="2316"/>
      <c r="R111" s="2316"/>
    </row>
    <row r="112" spans="1:18" ht="11.45" customHeight="1" x14ac:dyDescent="0.25">
      <c r="A112" s="2577"/>
      <c r="B112" s="2572"/>
      <c r="C112" s="2583"/>
      <c r="D112" s="2583"/>
      <c r="E112" s="2583"/>
      <c r="F112" s="2583"/>
      <c r="G112" s="2583"/>
      <c r="H112" s="2583"/>
      <c r="I112" s="2583"/>
      <c r="J112" s="2583"/>
      <c r="K112" s="2585"/>
      <c r="L112" s="2316"/>
      <c r="M112" s="2316"/>
      <c r="N112" s="2316"/>
      <c r="O112" s="2316"/>
      <c r="P112" s="2316"/>
      <c r="Q112" s="2316"/>
      <c r="R112" s="2316"/>
    </row>
    <row r="113" spans="1:18" ht="5.25" customHeight="1" x14ac:dyDescent="0.25">
      <c r="A113" s="2574"/>
      <c r="B113" s="2572"/>
      <c r="C113" s="2583"/>
      <c r="D113" s="2583"/>
      <c r="E113" s="2583"/>
      <c r="F113" s="2583"/>
      <c r="G113" s="2583"/>
      <c r="H113" s="2583"/>
      <c r="I113" s="2583"/>
      <c r="J113" s="2583"/>
      <c r="K113" s="2306"/>
      <c r="L113" s="2304"/>
      <c r="M113" s="2304"/>
      <c r="N113" s="2304"/>
      <c r="O113" s="2304"/>
      <c r="P113" s="2304"/>
      <c r="Q113" s="2304"/>
      <c r="R113" s="2304"/>
    </row>
    <row r="114" spans="1:18" ht="11.25" customHeight="1" x14ac:dyDescent="0.25">
      <c r="A114" s="2301"/>
      <c r="B114" s="2315"/>
      <c r="C114" s="2585"/>
      <c r="D114" s="2585"/>
      <c r="E114" s="2585"/>
      <c r="F114" s="2585"/>
      <c r="G114" s="2585"/>
      <c r="H114" s="2585"/>
      <c r="I114" s="2585"/>
      <c r="J114" s="2585"/>
      <c r="K114" s="2579"/>
      <c r="L114" s="2317"/>
      <c r="M114" s="2317"/>
      <c r="N114" s="2317"/>
      <c r="O114" s="2317"/>
      <c r="P114" s="2317"/>
      <c r="Q114" s="2317"/>
      <c r="R114" s="2317"/>
    </row>
    <row r="115" spans="1:18" ht="11.25" customHeight="1" x14ac:dyDescent="0.25">
      <c r="A115" s="2308"/>
      <c r="B115" s="2315"/>
      <c r="C115" s="2306"/>
      <c r="D115" s="2306"/>
      <c r="E115" s="2306"/>
      <c r="F115" s="2306"/>
      <c r="G115" s="2306"/>
      <c r="H115" s="2306"/>
      <c r="I115" s="2306"/>
      <c r="J115" s="2306"/>
      <c r="K115" s="2584"/>
      <c r="L115" s="1328"/>
      <c r="M115" s="1328"/>
      <c r="N115" s="1328"/>
      <c r="O115" s="1328"/>
      <c r="P115" s="1328"/>
      <c r="Q115" s="1328"/>
      <c r="R115" s="1328"/>
    </row>
    <row r="116" spans="1:18" ht="11.25" customHeight="1" x14ac:dyDescent="0.25">
      <c r="A116" s="2301"/>
      <c r="B116" s="2305"/>
      <c r="C116" s="2579"/>
      <c r="D116" s="2579"/>
      <c r="E116" s="2579"/>
      <c r="F116" s="2579"/>
      <c r="G116" s="2579"/>
      <c r="H116" s="2579"/>
      <c r="I116" s="2579"/>
      <c r="J116" s="2579"/>
      <c r="K116" s="2584"/>
      <c r="L116" s="1328"/>
      <c r="M116" s="1328"/>
      <c r="N116" s="1328"/>
      <c r="O116" s="1328"/>
      <c r="P116" s="1328"/>
      <c r="Q116" s="1328"/>
      <c r="R116" s="1328"/>
    </row>
    <row r="117" spans="1:18" ht="11.25" customHeight="1" x14ac:dyDescent="0.25">
      <c r="A117" s="2301"/>
      <c r="B117" s="2305"/>
      <c r="C117" s="2584"/>
      <c r="D117" s="2584"/>
      <c r="E117" s="2584"/>
      <c r="F117" s="2584"/>
      <c r="G117" s="2584"/>
      <c r="H117" s="2584"/>
      <c r="I117" s="2584"/>
      <c r="J117" s="2584"/>
      <c r="K117" s="2586"/>
      <c r="L117" s="2318"/>
      <c r="M117" s="2318"/>
      <c r="N117" s="2318"/>
      <c r="O117" s="2318"/>
      <c r="P117" s="2318"/>
      <c r="Q117" s="2318"/>
      <c r="R117" s="2318"/>
    </row>
    <row r="118" spans="1:18" ht="11.25" customHeight="1" x14ac:dyDescent="0.25">
      <c r="A118" s="2301"/>
      <c r="B118" s="2305"/>
      <c r="C118" s="1328"/>
      <c r="D118" s="1328"/>
      <c r="E118" s="1328"/>
      <c r="F118" s="1328"/>
      <c r="G118" s="1328"/>
      <c r="H118" s="1328"/>
      <c r="I118" s="1328"/>
      <c r="J118" s="1328"/>
      <c r="K118" s="2319"/>
      <c r="L118" s="2319"/>
      <c r="M118" s="2319"/>
      <c r="N118" s="2319"/>
      <c r="O118" s="2319"/>
      <c r="P118" s="2319"/>
      <c r="Q118" s="2319"/>
      <c r="R118" s="2319"/>
    </row>
    <row r="119" spans="1:18" ht="11.25" customHeight="1" x14ac:dyDescent="0.25">
      <c r="A119" s="2301"/>
      <c r="B119" s="2305"/>
      <c r="C119" s="2318"/>
      <c r="D119" s="2318"/>
      <c r="E119" s="2318"/>
      <c r="F119" s="2318"/>
      <c r="G119" s="2318"/>
      <c r="H119" s="2318"/>
      <c r="I119" s="2318"/>
      <c r="J119" s="2318"/>
      <c r="K119" s="2319"/>
      <c r="L119" s="2319"/>
      <c r="M119" s="2319"/>
      <c r="N119" s="2319"/>
      <c r="O119" s="2319"/>
      <c r="P119" s="2319"/>
      <c r="Q119" s="2319"/>
      <c r="R119" s="2319"/>
    </row>
    <row r="120" spans="1:18" ht="11.25" customHeight="1" x14ac:dyDescent="0.25">
      <c r="A120" s="2301"/>
      <c r="B120" s="2305"/>
      <c r="C120" s="2319"/>
      <c r="D120" s="2319"/>
      <c r="E120" s="2319"/>
      <c r="F120" s="2319"/>
      <c r="G120" s="2319"/>
      <c r="H120" s="2319"/>
      <c r="I120" s="2319"/>
      <c r="J120" s="2319"/>
      <c r="K120" s="2319"/>
      <c r="L120" s="2319"/>
      <c r="M120" s="2319"/>
      <c r="N120" s="2319"/>
      <c r="O120" s="2319"/>
      <c r="P120" s="2319"/>
      <c r="Q120" s="2319"/>
      <c r="R120" s="2319"/>
    </row>
    <row r="121" spans="1:18" ht="11.25" customHeight="1" x14ac:dyDescent="0.25">
      <c r="A121" s="2301"/>
      <c r="B121" s="2305"/>
      <c r="C121" s="2319"/>
      <c r="D121" s="2319"/>
      <c r="E121" s="2319"/>
      <c r="F121" s="2319"/>
      <c r="G121" s="2319"/>
      <c r="H121" s="2319"/>
      <c r="I121" s="2319"/>
      <c r="J121" s="2319"/>
      <c r="K121" s="2319"/>
      <c r="L121" s="2319"/>
      <c r="M121" s="2319"/>
      <c r="N121" s="2319"/>
      <c r="O121" s="2319"/>
      <c r="P121" s="2319"/>
      <c r="Q121" s="2319"/>
      <c r="R121" s="2319"/>
    </row>
    <row r="122" spans="1:18" ht="11.25" customHeight="1" x14ac:dyDescent="0.25">
      <c r="A122" s="2301"/>
      <c r="B122" s="2305"/>
      <c r="C122" s="2319"/>
      <c r="D122" s="2319"/>
      <c r="E122" s="2319"/>
      <c r="F122" s="2319"/>
      <c r="G122" s="2319"/>
      <c r="H122" s="2319"/>
      <c r="I122" s="2319"/>
      <c r="J122" s="2319"/>
      <c r="K122" s="2319"/>
      <c r="L122" s="2319"/>
      <c r="M122" s="2319"/>
      <c r="N122" s="2319"/>
      <c r="O122" s="2319"/>
      <c r="P122" s="2319"/>
      <c r="Q122" s="2319"/>
      <c r="R122" s="2319"/>
    </row>
    <row r="123" spans="1:18" ht="11.25" customHeight="1" x14ac:dyDescent="0.25">
      <c r="A123" s="2301"/>
      <c r="B123" s="2305"/>
      <c r="C123" s="2319"/>
      <c r="D123" s="2319"/>
      <c r="E123" s="2319"/>
      <c r="F123" s="2319"/>
      <c r="G123" s="2319"/>
      <c r="H123" s="2319"/>
      <c r="I123" s="2319"/>
      <c r="J123" s="2319"/>
      <c r="K123" s="2319"/>
      <c r="L123" s="2319"/>
      <c r="M123" s="2319"/>
      <c r="N123" s="2319"/>
      <c r="O123" s="2319"/>
      <c r="P123" s="2319"/>
      <c r="Q123" s="2319"/>
      <c r="R123" s="2319"/>
    </row>
    <row r="124" spans="1:18" ht="11.25" customHeight="1" x14ac:dyDescent="0.25">
      <c r="A124" s="2301"/>
      <c r="B124" s="2305"/>
      <c r="C124" s="2319"/>
      <c r="D124" s="2319"/>
      <c r="E124" s="2319"/>
      <c r="F124" s="2319"/>
      <c r="G124" s="2319"/>
      <c r="H124" s="2319"/>
      <c r="I124" s="2319"/>
      <c r="J124" s="2319"/>
      <c r="K124" s="261"/>
      <c r="L124" s="261"/>
      <c r="M124" s="261"/>
      <c r="N124" s="261"/>
      <c r="O124" s="261"/>
      <c r="P124" s="261"/>
      <c r="Q124" s="261"/>
      <c r="R124" s="261"/>
    </row>
    <row r="125" spans="1:18" ht="5.0999999999999996" customHeight="1" x14ac:dyDescent="0.25">
      <c r="A125" s="2301"/>
      <c r="B125" s="2305"/>
      <c r="C125" s="2319"/>
      <c r="D125" s="2319"/>
      <c r="E125" s="2319"/>
      <c r="F125" s="2319"/>
      <c r="G125" s="2319"/>
      <c r="H125" s="2319"/>
      <c r="I125" s="2319"/>
      <c r="J125" s="2319"/>
      <c r="K125" s="363"/>
      <c r="L125" s="363"/>
      <c r="M125" s="363"/>
      <c r="N125" s="363"/>
      <c r="O125" s="363"/>
      <c r="P125" s="363"/>
      <c r="Q125" s="363"/>
      <c r="R125" s="363"/>
    </row>
    <row r="126" spans="1:18" s="1058" customFormat="1" x14ac:dyDescent="0.25">
      <c r="A126" s="2306"/>
      <c r="B126" s="2305"/>
      <c r="C126" s="261"/>
      <c r="D126" s="261"/>
      <c r="E126" s="261"/>
      <c r="F126" s="261"/>
      <c r="G126" s="261"/>
      <c r="H126" s="261"/>
      <c r="I126" s="261"/>
      <c r="J126" s="261"/>
      <c r="K126" s="1035"/>
      <c r="L126" s="1035"/>
      <c r="M126" s="1035"/>
      <c r="N126" s="1035"/>
      <c r="O126" s="1035"/>
      <c r="P126" s="1035"/>
      <c r="Q126" s="1035"/>
      <c r="R126" s="1035"/>
    </row>
    <row r="127" spans="1:18" s="1058" customFormat="1" x14ac:dyDescent="0.25">
      <c r="A127" s="2307"/>
      <c r="B127" s="2302"/>
      <c r="C127" s="363"/>
      <c r="D127" s="363"/>
      <c r="E127" s="363"/>
      <c r="F127" s="363"/>
      <c r="G127" s="363"/>
      <c r="H127" s="363"/>
      <c r="I127" s="363"/>
      <c r="J127" s="363"/>
      <c r="K127" s="1035"/>
      <c r="L127" s="1035"/>
      <c r="M127" s="1035"/>
      <c r="N127" s="1035"/>
      <c r="O127" s="1035"/>
      <c r="P127" s="1035"/>
      <c r="Q127" s="1035"/>
      <c r="R127" s="1035"/>
    </row>
    <row r="128" spans="1:18" s="1058" customFormat="1" x14ac:dyDescent="0.25">
      <c r="A128" s="2320"/>
      <c r="B128" s="2311"/>
      <c r="C128" s="1035"/>
      <c r="D128" s="1035"/>
      <c r="E128" s="1035"/>
      <c r="F128" s="1035"/>
      <c r="G128" s="1035"/>
      <c r="H128" s="1035"/>
      <c r="I128" s="1035"/>
      <c r="J128" s="1035"/>
      <c r="K128" s="1035"/>
      <c r="L128" s="1035"/>
      <c r="M128" s="1035"/>
      <c r="N128" s="1035"/>
      <c r="O128" s="1035"/>
      <c r="P128" s="1035"/>
      <c r="Q128" s="1035"/>
      <c r="R128" s="1035"/>
    </row>
    <row r="129" spans="1:18" s="1058" customFormat="1" x14ac:dyDescent="0.25">
      <c r="A129" s="2321"/>
      <c r="B129" s="2311"/>
      <c r="C129" s="1035"/>
      <c r="D129" s="1035"/>
      <c r="E129" s="1035"/>
      <c r="F129" s="1035"/>
      <c r="G129" s="1035"/>
      <c r="H129" s="1035"/>
      <c r="I129" s="1035"/>
      <c r="J129" s="1035"/>
      <c r="K129" s="1035"/>
      <c r="L129" s="1035"/>
      <c r="M129" s="1035"/>
      <c r="N129" s="1035"/>
      <c r="O129" s="1035"/>
      <c r="P129" s="1035"/>
      <c r="Q129" s="1035"/>
      <c r="R129" s="1035"/>
    </row>
    <row r="130" spans="1:18" s="1058" customFormat="1" x14ac:dyDescent="0.25">
      <c r="A130" s="2321"/>
      <c r="B130" s="2311"/>
      <c r="C130" s="1035"/>
      <c r="D130" s="1035"/>
      <c r="E130" s="1035"/>
      <c r="F130" s="1035"/>
      <c r="G130" s="1035"/>
      <c r="H130" s="1035"/>
      <c r="I130" s="1035"/>
      <c r="J130" s="1035"/>
      <c r="K130" s="1035"/>
      <c r="L130" s="1035"/>
      <c r="M130" s="1035"/>
      <c r="N130" s="1035"/>
      <c r="O130" s="1035"/>
      <c r="P130" s="1035"/>
      <c r="Q130" s="1035"/>
      <c r="R130" s="1035"/>
    </row>
    <row r="131" spans="1:18" x14ac:dyDescent="0.25">
      <c r="A131" s="1510"/>
      <c r="B131" s="2311"/>
      <c r="C131" s="1035"/>
      <c r="D131" s="1035"/>
      <c r="E131" s="1035"/>
      <c r="F131" s="1035"/>
      <c r="G131" s="1035"/>
      <c r="H131" s="1035"/>
      <c r="I131" s="1035"/>
      <c r="J131" s="1035"/>
      <c r="K131" s="238"/>
      <c r="L131" s="238"/>
      <c r="M131" s="238"/>
      <c r="N131" s="238"/>
      <c r="O131" s="238"/>
      <c r="P131" s="238"/>
      <c r="Q131" s="238"/>
      <c r="R131" s="238"/>
    </row>
    <row r="132" spans="1:18" x14ac:dyDescent="0.25">
      <c r="A132" s="2321"/>
      <c r="B132" s="2311"/>
      <c r="C132" s="1035"/>
      <c r="D132" s="1035"/>
      <c r="E132" s="1035"/>
      <c r="F132" s="1035"/>
      <c r="G132" s="1035"/>
      <c r="H132" s="1035"/>
      <c r="I132" s="1035"/>
      <c r="J132" s="1035"/>
      <c r="K132" s="238"/>
      <c r="L132" s="238"/>
      <c r="M132" s="238"/>
      <c r="N132" s="238"/>
      <c r="O132" s="238"/>
      <c r="P132" s="238"/>
      <c r="Q132" s="238"/>
      <c r="R132" s="238"/>
    </row>
    <row r="133" spans="1:18" ht="11.25" customHeight="1" x14ac:dyDescent="0.25">
      <c r="A133" s="1154"/>
      <c r="C133" s="237"/>
      <c r="D133" s="237"/>
      <c r="E133" s="237"/>
      <c r="F133" s="237"/>
      <c r="G133" s="238"/>
      <c r="H133" s="238"/>
      <c r="I133" s="238"/>
      <c r="J133" s="238"/>
    </row>
    <row r="134" spans="1:18" ht="11.25" customHeight="1" x14ac:dyDescent="0.25">
      <c r="A134" s="1154"/>
      <c r="C134" s="237"/>
      <c r="D134" s="237"/>
      <c r="E134" s="237"/>
      <c r="F134" s="237"/>
      <c r="G134" s="238"/>
      <c r="H134" s="238"/>
      <c r="I134" s="238"/>
      <c r="J134" s="238"/>
    </row>
    <row r="135" spans="1:18" ht="11.25" customHeight="1" x14ac:dyDescent="0.25"/>
    <row r="136" spans="1:18" ht="11.25" customHeight="1" x14ac:dyDescent="0.25">
      <c r="B136" s="2307"/>
    </row>
    <row r="137" spans="1:18" ht="11.25" customHeight="1" x14ac:dyDescent="0.25">
      <c r="B137" s="2307"/>
    </row>
    <row r="138" spans="1:18" ht="11.25" customHeight="1" x14ac:dyDescent="0.25">
      <c r="B138" s="2307"/>
    </row>
    <row r="139" spans="1:18" ht="11.25" customHeight="1" x14ac:dyDescent="0.25"/>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sheetData>
  <sheetProtection sheet="1" objects="1" scenarios="1"/>
  <customSheetViews>
    <customSheetView guid="{F50C5479-5CC4-4FD7-8319-543D29E829F0}" showGridLines="0" topLeftCell="A72">
      <selection activeCell="G83" sqref="G83:G84"/>
      <rowBreaks count="1" manualBreakCount="1">
        <brk id="56" max="16383" man="1"/>
      </rowBreaks>
      <pageMargins left="0" right="0" top="0.59055118110236227" bottom="0.24" header="0.51181102362204722" footer="0.23622047244094491"/>
      <printOptions horizontalCentered="1"/>
      <pageSetup paperSize="9" scale="80" orientation="landscape" r:id="rId1"/>
      <headerFooter alignWithMargins="0"/>
    </customSheetView>
  </customSheetViews>
  <mergeCells count="14">
    <mergeCell ref="G94:G95"/>
    <mergeCell ref="A94:A95"/>
    <mergeCell ref="B94:B95"/>
    <mergeCell ref="C94:C95"/>
    <mergeCell ref="D94:D95"/>
    <mergeCell ref="E94:E95"/>
    <mergeCell ref="F94:F95"/>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0:R81 C80:C81 K17:R17">
      <formula1>List2</formula1>
    </dataValidation>
    <dataValidation type="list" allowBlank="1" showInputMessage="1" showErrorMessage="1" promptTitle="Select" prompt="Select one" sqref="K82:R82 C82 K19:R19">
      <formula1>List4</formula1>
    </dataValidation>
    <dataValidation type="list" allowBlank="1" showInputMessage="1" showErrorMessage="1" promptTitle="Select" prompt="Select one" sqref="K83:R83 K20:R20">
      <formula1>List5</formula1>
    </dataValidation>
    <dataValidation type="list" showInputMessage="1" showErrorMessage="1" promptTitle="Guidance" prompt="Select Yes or No" sqref="K85:R86 K22:R23">
      <formula1>List6</formula1>
    </dataValidation>
    <dataValidation type="list" showInputMessage="1" showErrorMessage="1" promptTitle="Guidance" prompt="Select Uniform or Variable" sqref="K87:R87 K24:R24">
      <formula1>List7</formula1>
    </dataValidation>
  </dataValidations>
  <printOptions horizontalCentered="1"/>
  <pageMargins left="0" right="0" top="0.59055118110236227" bottom="0.24" header="0.51181102362204722" footer="0.23622047244094491"/>
  <pageSetup paperSize="9" scale="80" orientation="landscape" r:id="rId2"/>
  <headerFooter alignWithMargins="0"/>
  <rowBreaks count="1" manualBreakCount="1">
    <brk id="5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sheetPr>
  <dimension ref="A1:S167"/>
  <sheetViews>
    <sheetView showGridLines="0" topLeftCell="A14" zoomScaleNormal="100" workbookViewId="0">
      <selection activeCell="H30" sqref="H30"/>
    </sheetView>
  </sheetViews>
  <sheetFormatPr defaultRowHeight="12.75" x14ac:dyDescent="0.25"/>
  <cols>
    <col min="1" max="1" width="31.42578125" style="360" customWidth="1"/>
    <col min="2" max="2" width="3.7109375" style="2302" customWidth="1"/>
    <col min="3" max="3" width="17.7109375" style="360" customWidth="1"/>
    <col min="4" max="10" width="9.28515625" style="360" customWidth="1"/>
    <col min="11" max="18" width="8.140625" style="360" customWidth="1"/>
    <col min="19" max="19" width="9.85546875" style="360" customWidth="1"/>
    <col min="20" max="20" width="9.5703125" style="360" customWidth="1"/>
    <col min="21" max="21" width="9.85546875" style="360" customWidth="1"/>
    <col min="22" max="24" width="9.5703125" style="360" customWidth="1"/>
    <col min="25" max="25" width="9.85546875" style="360" customWidth="1"/>
    <col min="26" max="28" width="9.5703125" style="360" customWidth="1"/>
    <col min="29" max="30" width="9.85546875" style="360" customWidth="1"/>
    <col min="31" max="16384" width="9.140625" style="360"/>
  </cols>
  <sheetData>
    <row r="1" spans="1:18" ht="13.5" x14ac:dyDescent="0.25">
      <c r="A1" s="2531" t="str">
        <f>muni&amp;" - "&amp;TableA13b</f>
        <v>MP315 Thembisile Hani - Supporting Table SA13b Service Tariffs by category - explanatory</v>
      </c>
      <c r="B1" s="1117"/>
      <c r="C1" s="1117"/>
      <c r="D1" s="1117"/>
      <c r="E1" s="1117"/>
      <c r="F1" s="1117"/>
      <c r="G1" s="1117"/>
      <c r="H1" s="1117"/>
      <c r="I1" s="1117"/>
      <c r="J1" s="1117"/>
      <c r="K1" s="930"/>
      <c r="L1" s="930"/>
      <c r="M1" s="930"/>
      <c r="N1" s="930"/>
      <c r="O1" s="930"/>
      <c r="P1" s="930"/>
      <c r="Q1" s="930"/>
      <c r="R1" s="930"/>
    </row>
    <row r="2" spans="1:18" ht="24.95" customHeight="1" x14ac:dyDescent="0.25">
      <c r="A2" s="2826" t="str">
        <f>desc</f>
        <v>Description</v>
      </c>
      <c r="B2" s="2789" t="str">
        <f>head27</f>
        <v>Ref</v>
      </c>
      <c r="C2" s="2829" t="s">
        <v>2081</v>
      </c>
      <c r="D2" s="2829" t="str">
        <f>head1b</f>
        <v>2011/12</v>
      </c>
      <c r="E2" s="2829" t="str">
        <f>head1A</f>
        <v>2012/13</v>
      </c>
      <c r="F2" s="2831" t="str">
        <f>Head1</f>
        <v>2013/14</v>
      </c>
      <c r="G2" s="2824" t="str">
        <f>Head2</f>
        <v>Current Year 2014/15</v>
      </c>
      <c r="H2" s="2532" t="str">
        <f>Head3</f>
        <v>2015/16 Medium Term Revenue &amp; Expenditure Framework</v>
      </c>
      <c r="I2" s="2533"/>
      <c r="J2" s="2534"/>
      <c r="K2" s="2300"/>
      <c r="L2" s="2300"/>
      <c r="M2" s="2300"/>
      <c r="N2" s="2300"/>
      <c r="O2" s="2300"/>
      <c r="P2" s="2300"/>
      <c r="Q2" s="2300"/>
      <c r="R2" s="2300"/>
    </row>
    <row r="3" spans="1:18" ht="24.95" customHeight="1" x14ac:dyDescent="0.25">
      <c r="A3" s="2827"/>
      <c r="B3" s="2790"/>
      <c r="C3" s="2830"/>
      <c r="D3" s="2830"/>
      <c r="E3" s="2830"/>
      <c r="F3" s="2832"/>
      <c r="G3" s="2825"/>
      <c r="H3" s="2599" t="str">
        <f>Head9</f>
        <v>Budget Year 2015/16</v>
      </c>
      <c r="I3" s="2600" t="str">
        <f>Head10</f>
        <v>Budget Year +1 2016/17</v>
      </c>
      <c r="J3" s="2601" t="str">
        <f>Head11</f>
        <v>Budget Year +2 2017/18</v>
      </c>
      <c r="K3" s="238"/>
      <c r="L3" s="238"/>
      <c r="M3" s="238"/>
      <c r="N3" s="238"/>
      <c r="O3" s="238"/>
      <c r="P3" s="238"/>
      <c r="Q3" s="238"/>
      <c r="R3" s="238"/>
    </row>
    <row r="4" spans="1:18" ht="12.75" customHeight="1" x14ac:dyDescent="0.25">
      <c r="A4" s="2536" t="s">
        <v>2103</v>
      </c>
      <c r="B4" s="2543"/>
      <c r="C4" s="2544"/>
      <c r="D4" s="2544"/>
      <c r="E4" s="2544"/>
      <c r="F4" s="2545"/>
      <c r="G4" s="2546"/>
      <c r="H4" s="2546"/>
      <c r="I4" s="2544"/>
      <c r="J4" s="2545"/>
      <c r="K4" s="238"/>
      <c r="L4" s="238"/>
      <c r="M4" s="238"/>
      <c r="N4" s="238"/>
      <c r="O4" s="238"/>
      <c r="P4" s="238"/>
      <c r="Q4" s="238"/>
      <c r="R4" s="238"/>
    </row>
    <row r="5" spans="1:18" ht="12.75" customHeight="1" x14ac:dyDescent="0.25">
      <c r="A5" s="2530" t="s">
        <v>2106</v>
      </c>
      <c r="B5" s="2543"/>
      <c r="C5" s="2602" t="s">
        <v>2676</v>
      </c>
      <c r="D5" s="2602">
        <v>50000</v>
      </c>
      <c r="E5" s="2602">
        <v>50000</v>
      </c>
      <c r="F5" s="2603">
        <v>20000</v>
      </c>
      <c r="G5" s="2604">
        <v>20000</v>
      </c>
      <c r="H5" s="2604">
        <f>SA13a!H32</f>
        <v>100000</v>
      </c>
      <c r="I5" s="2602">
        <v>105900</v>
      </c>
      <c r="J5" s="2603">
        <v>111830.40000000001</v>
      </c>
      <c r="K5" s="2091"/>
      <c r="L5" s="2091"/>
      <c r="M5" s="2091"/>
      <c r="N5" s="2091"/>
      <c r="O5" s="2091"/>
      <c r="P5" s="2091"/>
      <c r="Q5" s="2091"/>
      <c r="R5" s="2091"/>
    </row>
    <row r="6" spans="1:18" ht="12.75" customHeight="1" x14ac:dyDescent="0.25">
      <c r="A6" s="2530"/>
      <c r="B6" s="2542"/>
      <c r="C6" s="2602"/>
      <c r="D6" s="2602"/>
      <c r="E6" s="2602"/>
      <c r="F6" s="2603"/>
      <c r="G6" s="2604"/>
      <c r="H6" s="2604"/>
      <c r="I6" s="2602"/>
      <c r="J6" s="2603"/>
      <c r="K6" s="2091"/>
      <c r="L6" s="2091"/>
      <c r="M6" s="2091"/>
      <c r="N6" s="2091"/>
      <c r="O6" s="2091"/>
      <c r="P6" s="2091"/>
      <c r="Q6" s="2091"/>
      <c r="R6" s="2091"/>
    </row>
    <row r="7" spans="1:18" ht="12.75" customHeight="1" x14ac:dyDescent="0.25">
      <c r="A7" s="2530"/>
      <c r="B7" s="2542"/>
      <c r="C7" s="2602"/>
      <c r="D7" s="2602"/>
      <c r="E7" s="2602"/>
      <c r="F7" s="2603"/>
      <c r="G7" s="2604"/>
      <c r="H7" s="2604"/>
      <c r="I7" s="2602"/>
      <c r="J7" s="2603"/>
      <c r="K7" s="2091"/>
      <c r="L7" s="2091"/>
      <c r="M7" s="2091"/>
      <c r="N7" s="2091"/>
      <c r="O7" s="2091"/>
      <c r="P7" s="2091"/>
      <c r="Q7" s="2091"/>
      <c r="R7" s="2091"/>
    </row>
    <row r="8" spans="1:18" ht="12.75" customHeight="1" x14ac:dyDescent="0.25">
      <c r="A8" s="2530"/>
      <c r="B8" s="2542"/>
      <c r="C8" s="2602"/>
      <c r="D8" s="2602"/>
      <c r="E8" s="2602"/>
      <c r="F8" s="2603"/>
      <c r="G8" s="2604"/>
      <c r="H8" s="2604"/>
      <c r="I8" s="2602"/>
      <c r="J8" s="2603"/>
      <c r="K8" s="2091"/>
      <c r="L8" s="2091"/>
      <c r="M8" s="2091"/>
      <c r="N8" s="2091"/>
      <c r="O8" s="2091"/>
      <c r="P8" s="2091"/>
      <c r="Q8" s="2091"/>
      <c r="R8" s="2091"/>
    </row>
    <row r="9" spans="1:18" ht="12.75" customHeight="1" x14ac:dyDescent="0.25">
      <c r="A9" s="2530"/>
      <c r="B9" s="2542"/>
      <c r="C9" s="2602"/>
      <c r="D9" s="2602"/>
      <c r="E9" s="2602"/>
      <c r="F9" s="2603"/>
      <c r="G9" s="2604"/>
      <c r="H9" s="2604"/>
      <c r="I9" s="2602"/>
      <c r="J9" s="2603"/>
      <c r="K9" s="2091"/>
      <c r="L9" s="2091"/>
      <c r="M9" s="2091"/>
      <c r="N9" s="2091"/>
      <c r="O9" s="2091"/>
      <c r="P9" s="2091"/>
      <c r="Q9" s="2091"/>
      <c r="R9" s="2091"/>
    </row>
    <row r="10" spans="1:18" ht="12.75" customHeight="1" x14ac:dyDescent="0.25">
      <c r="A10" s="2530"/>
      <c r="B10" s="2542"/>
      <c r="C10" s="2602"/>
      <c r="D10" s="2602"/>
      <c r="E10" s="2602"/>
      <c r="F10" s="2603"/>
      <c r="G10" s="2604"/>
      <c r="H10" s="2604"/>
      <c r="I10" s="2602"/>
      <c r="J10" s="2603"/>
      <c r="K10" s="2091"/>
      <c r="L10" s="2091"/>
      <c r="M10" s="2091"/>
      <c r="N10" s="2091"/>
      <c r="O10" s="2091"/>
      <c r="P10" s="2091"/>
      <c r="Q10" s="2091"/>
      <c r="R10" s="2091"/>
    </row>
    <row r="11" spans="1:18" ht="12.75" customHeight="1" x14ac:dyDescent="0.25">
      <c r="A11" s="2530"/>
      <c r="B11" s="2542"/>
      <c r="C11" s="2602"/>
      <c r="D11" s="2602"/>
      <c r="E11" s="2602"/>
      <c r="F11" s="2603"/>
      <c r="G11" s="2604"/>
      <c r="H11" s="2604"/>
      <c r="I11" s="2602"/>
      <c r="J11" s="2603"/>
      <c r="K11" s="2091"/>
      <c r="L11" s="2091"/>
      <c r="M11" s="2091"/>
      <c r="N11" s="2091"/>
      <c r="O11" s="2091"/>
      <c r="P11" s="2091"/>
      <c r="Q11" s="2091"/>
      <c r="R11" s="2091"/>
    </row>
    <row r="12" spans="1:18" ht="12.75" customHeight="1" x14ac:dyDescent="0.25">
      <c r="A12" s="2530"/>
      <c r="B12" s="2542"/>
      <c r="C12" s="2602"/>
      <c r="D12" s="2602"/>
      <c r="E12" s="2602"/>
      <c r="F12" s="2603"/>
      <c r="G12" s="2604"/>
      <c r="H12" s="2604"/>
      <c r="I12" s="2602"/>
      <c r="J12" s="2603"/>
      <c r="K12" s="2091"/>
      <c r="L12" s="2091"/>
      <c r="M12" s="2091"/>
      <c r="N12" s="2091"/>
      <c r="O12" s="2091"/>
      <c r="P12" s="2091"/>
      <c r="Q12" s="2091"/>
      <c r="R12" s="2091"/>
    </row>
    <row r="13" spans="1:18" ht="6" customHeight="1" x14ac:dyDescent="0.25">
      <c r="A13" s="2549"/>
      <c r="B13" s="2543"/>
      <c r="C13" s="2543"/>
      <c r="D13" s="2550"/>
      <c r="E13" s="2550"/>
      <c r="F13" s="2551"/>
      <c r="G13" s="2552"/>
      <c r="H13" s="2552"/>
      <c r="I13" s="2550"/>
      <c r="J13" s="2551"/>
      <c r="K13" s="2091"/>
      <c r="L13" s="2091"/>
      <c r="M13" s="2091"/>
      <c r="N13" s="2091"/>
      <c r="O13" s="2091"/>
      <c r="P13" s="2091"/>
      <c r="Q13" s="2091"/>
      <c r="R13" s="2091"/>
    </row>
    <row r="14" spans="1:18" ht="12.75" customHeight="1" x14ac:dyDescent="0.25">
      <c r="A14" s="2536" t="s">
        <v>2109</v>
      </c>
      <c r="B14" s="2543"/>
      <c r="C14" s="2543"/>
      <c r="D14" s="2544"/>
      <c r="E14" s="2544"/>
      <c r="F14" s="2545"/>
      <c r="G14" s="2546"/>
      <c r="H14" s="2546"/>
      <c r="I14" s="2544"/>
      <c r="J14" s="2545"/>
      <c r="K14" s="2091"/>
      <c r="L14" s="2091"/>
      <c r="M14" s="2091"/>
      <c r="N14" s="2091"/>
      <c r="O14" s="2091"/>
      <c r="P14" s="2091"/>
      <c r="Q14" s="2091"/>
      <c r="R14" s="2091"/>
    </row>
    <row r="15" spans="1:18" ht="12.75" customHeight="1" x14ac:dyDescent="0.25">
      <c r="A15" s="2530" t="s">
        <v>2688</v>
      </c>
      <c r="B15" s="2542"/>
      <c r="C15" s="2602" t="s">
        <v>2690</v>
      </c>
      <c r="D15" s="2602">
        <v>282</v>
      </c>
      <c r="E15" s="2602">
        <v>298</v>
      </c>
      <c r="F15" s="2603">
        <v>75</v>
      </c>
      <c r="G15" s="2604">
        <v>317</v>
      </c>
      <c r="H15" s="2604">
        <v>335.89</v>
      </c>
      <c r="I15" s="2602">
        <v>355.70750999999996</v>
      </c>
      <c r="J15" s="2603">
        <v>375.62713055999996</v>
      </c>
      <c r="K15" s="2091"/>
      <c r="L15" s="2091"/>
      <c r="M15" s="2091"/>
      <c r="N15" s="2091"/>
      <c r="O15" s="2091"/>
      <c r="P15" s="2091"/>
      <c r="Q15" s="2091"/>
      <c r="R15" s="2091"/>
    </row>
    <row r="16" spans="1:18" ht="12.75" customHeight="1" x14ac:dyDescent="0.25">
      <c r="A16" s="2530" t="s">
        <v>2689</v>
      </c>
      <c r="B16" s="2542"/>
      <c r="C16" s="2602" t="s">
        <v>2690</v>
      </c>
      <c r="D16" s="2602">
        <v>69</v>
      </c>
      <c r="E16" s="2602">
        <v>75</v>
      </c>
      <c r="F16" s="2603">
        <v>298.10000000000002</v>
      </c>
      <c r="G16" s="2604">
        <v>80</v>
      </c>
      <c r="H16" s="2604">
        <v>84.33</v>
      </c>
      <c r="I16" s="2602">
        <v>141.90600000000001</v>
      </c>
      <c r="J16" s="2603">
        <v>149.85273600000002</v>
      </c>
      <c r="K16" s="2309"/>
      <c r="L16" s="2309"/>
      <c r="M16" s="2309"/>
      <c r="N16" s="2309"/>
      <c r="O16" s="2309"/>
      <c r="P16" s="2309"/>
      <c r="Q16" s="2309"/>
      <c r="R16" s="2309"/>
    </row>
    <row r="17" spans="1:18" ht="12.75" customHeight="1" x14ac:dyDescent="0.25">
      <c r="A17" s="2530"/>
      <c r="B17" s="2542"/>
      <c r="C17" s="2602" t="s">
        <v>2117</v>
      </c>
      <c r="D17" s="2602"/>
      <c r="E17" s="2602"/>
      <c r="F17" s="2603"/>
      <c r="G17" s="2604"/>
      <c r="H17" s="2604"/>
      <c r="I17" s="2602"/>
      <c r="J17" s="2603"/>
      <c r="K17" s="2311"/>
      <c r="L17" s="2311"/>
      <c r="M17" s="2311"/>
      <c r="N17" s="2311"/>
      <c r="O17" s="2311"/>
      <c r="P17" s="2311"/>
      <c r="Q17" s="2311"/>
      <c r="R17" s="2311"/>
    </row>
    <row r="18" spans="1:18" ht="12.75" customHeight="1" x14ac:dyDescent="0.25">
      <c r="A18" s="2530"/>
      <c r="B18" s="2542"/>
      <c r="C18" s="2602" t="s">
        <v>2117</v>
      </c>
      <c r="D18" s="2602"/>
      <c r="E18" s="2602"/>
      <c r="F18" s="2603"/>
      <c r="G18" s="2604"/>
      <c r="H18" s="2604"/>
      <c r="I18" s="2602"/>
      <c r="J18" s="2603"/>
      <c r="K18" s="2312"/>
      <c r="L18" s="2312"/>
      <c r="M18" s="2312"/>
      <c r="N18" s="2312"/>
      <c r="O18" s="2312"/>
      <c r="P18" s="2312"/>
      <c r="Q18" s="2312"/>
      <c r="R18" s="2312"/>
    </row>
    <row r="19" spans="1:18" ht="12.75" customHeight="1" x14ac:dyDescent="0.25">
      <c r="A19" s="2530"/>
      <c r="B19" s="2542"/>
      <c r="C19" s="2602" t="s">
        <v>2117</v>
      </c>
      <c r="D19" s="2602"/>
      <c r="E19" s="2602"/>
      <c r="F19" s="2603"/>
      <c r="G19" s="2604"/>
      <c r="H19" s="2604"/>
      <c r="I19" s="2602"/>
      <c r="J19" s="2603"/>
      <c r="K19" s="2311"/>
      <c r="L19" s="2311"/>
      <c r="M19" s="2311"/>
      <c r="N19" s="2311"/>
      <c r="O19" s="2311"/>
      <c r="P19" s="2311"/>
      <c r="Q19" s="2311"/>
      <c r="R19" s="2311"/>
    </row>
    <row r="20" spans="1:18" ht="12.75" customHeight="1" x14ac:dyDescent="0.25">
      <c r="A20" s="2530"/>
      <c r="B20" s="2542"/>
      <c r="C20" s="2602" t="s">
        <v>2117</v>
      </c>
      <c r="D20" s="2602"/>
      <c r="E20" s="2602"/>
      <c r="F20" s="2603"/>
      <c r="G20" s="2604"/>
      <c r="H20" s="2604"/>
      <c r="I20" s="2602"/>
      <c r="J20" s="2603"/>
      <c r="K20" s="2311"/>
      <c r="L20" s="2311"/>
      <c r="M20" s="2311"/>
      <c r="N20" s="2311"/>
      <c r="O20" s="2311"/>
      <c r="P20" s="2311"/>
      <c r="Q20" s="2311"/>
      <c r="R20" s="2311"/>
    </row>
    <row r="21" spans="1:18" ht="12.75" customHeight="1" x14ac:dyDescent="0.25">
      <c r="A21" s="2530"/>
      <c r="B21" s="2542"/>
      <c r="C21" s="2602" t="s">
        <v>2117</v>
      </c>
      <c r="D21" s="2602"/>
      <c r="E21" s="2602"/>
      <c r="F21" s="2603"/>
      <c r="G21" s="2604"/>
      <c r="H21" s="2604"/>
      <c r="I21" s="2602"/>
      <c r="J21" s="2603"/>
      <c r="K21" s="2311"/>
      <c r="L21" s="2311"/>
      <c r="M21" s="2311"/>
      <c r="N21" s="2311"/>
      <c r="O21" s="2311"/>
      <c r="P21" s="2311"/>
      <c r="Q21" s="2311"/>
      <c r="R21" s="2311"/>
    </row>
    <row r="22" spans="1:18" ht="12.75" customHeight="1" x14ac:dyDescent="0.25">
      <c r="A22" s="2530"/>
      <c r="B22" s="2542"/>
      <c r="C22" s="2602" t="s">
        <v>2117</v>
      </c>
      <c r="D22" s="2602"/>
      <c r="E22" s="2602"/>
      <c r="F22" s="2603"/>
      <c r="G22" s="2604"/>
      <c r="H22" s="2604"/>
      <c r="I22" s="2602"/>
      <c r="J22" s="2603"/>
      <c r="K22" s="2311"/>
      <c r="L22" s="2311"/>
      <c r="M22" s="2311"/>
      <c r="N22" s="2311"/>
      <c r="O22" s="2311"/>
      <c r="P22" s="2311"/>
      <c r="Q22" s="2311"/>
      <c r="R22" s="2311"/>
    </row>
    <row r="23" spans="1:18" ht="12.75" customHeight="1" x14ac:dyDescent="0.25">
      <c r="A23" s="2530"/>
      <c r="B23" s="2542"/>
      <c r="C23" s="2602" t="s">
        <v>2117</v>
      </c>
      <c r="D23" s="2602"/>
      <c r="E23" s="2602"/>
      <c r="F23" s="2603"/>
      <c r="G23" s="2604"/>
      <c r="H23" s="2604"/>
      <c r="I23" s="2602"/>
      <c r="J23" s="2603"/>
      <c r="K23" s="2311"/>
      <c r="L23" s="2311"/>
      <c r="M23" s="2311"/>
      <c r="N23" s="2311"/>
      <c r="O23" s="2311"/>
      <c r="P23" s="2311"/>
      <c r="Q23" s="2311"/>
      <c r="R23" s="2311"/>
    </row>
    <row r="24" spans="1:18" ht="12.75" customHeight="1" x14ac:dyDescent="0.25">
      <c r="A24" s="2530"/>
      <c r="B24" s="2542"/>
      <c r="C24" s="2602" t="s">
        <v>2117</v>
      </c>
      <c r="D24" s="2602"/>
      <c r="E24" s="2602"/>
      <c r="F24" s="2603"/>
      <c r="G24" s="2604"/>
      <c r="H24" s="2604"/>
      <c r="I24" s="2602"/>
      <c r="J24" s="2603"/>
      <c r="K24" s="2311"/>
      <c r="L24" s="2311"/>
      <c r="M24" s="2311"/>
      <c r="N24" s="2311"/>
      <c r="O24" s="2311"/>
      <c r="P24" s="2311"/>
      <c r="Q24" s="2311"/>
      <c r="R24" s="2311"/>
    </row>
    <row r="25" spans="1:18" ht="6" customHeight="1" x14ac:dyDescent="0.25">
      <c r="A25" s="2605"/>
      <c r="B25" s="2542"/>
      <c r="C25" s="2543"/>
      <c r="D25" s="2544"/>
      <c r="E25" s="2544"/>
      <c r="F25" s="2545"/>
      <c r="G25" s="2546"/>
      <c r="H25" s="2546"/>
      <c r="I25" s="2544"/>
      <c r="J25" s="2545"/>
      <c r="K25" s="602"/>
      <c r="L25" s="602"/>
      <c r="M25" s="602"/>
      <c r="N25" s="602"/>
      <c r="O25" s="602"/>
      <c r="P25" s="602"/>
      <c r="Q25" s="602"/>
      <c r="R25" s="602"/>
    </row>
    <row r="26" spans="1:18" ht="12.75" customHeight="1" x14ac:dyDescent="0.25">
      <c r="A26" s="2536" t="s">
        <v>2121</v>
      </c>
      <c r="B26" s="2542"/>
      <c r="C26" s="2543"/>
      <c r="D26" s="2544"/>
      <c r="E26" s="2544"/>
      <c r="F26" s="2545"/>
      <c r="G26" s="2546"/>
      <c r="H26" s="2546"/>
      <c r="I26" s="2544"/>
      <c r="J26" s="2545"/>
      <c r="K26" s="602"/>
      <c r="L26" s="602"/>
      <c r="M26" s="602"/>
      <c r="N26" s="602"/>
      <c r="O26" s="602"/>
      <c r="P26" s="602"/>
      <c r="Q26" s="602"/>
      <c r="R26" s="602"/>
    </row>
    <row r="27" spans="1:18" ht="12.75" customHeight="1" x14ac:dyDescent="0.25">
      <c r="A27" s="2530" t="s">
        <v>2691</v>
      </c>
      <c r="B27" s="2542"/>
      <c r="C27" s="2602" t="s">
        <v>2690</v>
      </c>
      <c r="D27" s="2602">
        <v>30</v>
      </c>
      <c r="E27" s="2602">
        <v>53</v>
      </c>
      <c r="F27" s="2603">
        <v>56</v>
      </c>
      <c r="G27" s="2604">
        <v>59</v>
      </c>
      <c r="H27" s="2604">
        <v>62.7</v>
      </c>
      <c r="I27" s="2602">
        <v>66.399299999999997</v>
      </c>
      <c r="J27" s="2603">
        <v>70.117660799999996</v>
      </c>
      <c r="K27" s="2313"/>
      <c r="L27" s="2313"/>
      <c r="M27" s="2313"/>
      <c r="N27" s="2313"/>
      <c r="O27" s="2313"/>
      <c r="P27" s="2313"/>
      <c r="Q27" s="2313"/>
      <c r="R27" s="2313"/>
    </row>
    <row r="28" spans="1:18" ht="12.75" customHeight="1" x14ac:dyDescent="0.25">
      <c r="A28" s="2530" t="s">
        <v>2687</v>
      </c>
      <c r="B28" s="2542"/>
      <c r="C28" s="2602" t="s">
        <v>2690</v>
      </c>
      <c r="D28" s="2602">
        <v>350</v>
      </c>
      <c r="E28" s="2602">
        <v>132</v>
      </c>
      <c r="F28" s="2603">
        <v>139</v>
      </c>
      <c r="G28" s="2604">
        <v>148</v>
      </c>
      <c r="H28" s="2604">
        <v>156.74502878495997</v>
      </c>
      <c r="I28" s="2602">
        <v>165.99298548327261</v>
      </c>
      <c r="J28" s="2603">
        <v>175.28859267033587</v>
      </c>
      <c r="K28" s="2313"/>
      <c r="L28" s="2313"/>
      <c r="M28" s="2313"/>
      <c r="N28" s="2313"/>
      <c r="O28" s="2313"/>
      <c r="P28" s="2313"/>
      <c r="Q28" s="2313"/>
      <c r="R28" s="2313"/>
    </row>
    <row r="29" spans="1:18" ht="12.75" customHeight="1" x14ac:dyDescent="0.25">
      <c r="A29" s="2530" t="s">
        <v>2683</v>
      </c>
      <c r="B29" s="2542"/>
      <c r="C29" s="2602" t="s">
        <v>2690</v>
      </c>
      <c r="D29" s="2602">
        <v>130</v>
      </c>
      <c r="E29" s="2602">
        <v>329</v>
      </c>
      <c r="F29" s="2603">
        <v>348</v>
      </c>
      <c r="G29" s="2604">
        <v>370</v>
      </c>
      <c r="H29" s="2604">
        <v>391.86257196239984</v>
      </c>
      <c r="I29" s="2602">
        <v>414.9824637081814</v>
      </c>
      <c r="J29" s="2603">
        <v>438.22148167583958</v>
      </c>
      <c r="K29" s="2313"/>
      <c r="L29" s="2313"/>
      <c r="M29" s="2313"/>
      <c r="N29" s="2313"/>
      <c r="O29" s="2313"/>
      <c r="P29" s="2313"/>
      <c r="Q29" s="2313"/>
      <c r="R29" s="2313"/>
    </row>
    <row r="30" spans="1:18" ht="12.75" customHeight="1" x14ac:dyDescent="0.25">
      <c r="A30" s="2530" t="s">
        <v>2684</v>
      </c>
      <c r="B30" s="2542"/>
      <c r="C30" s="2602" t="s">
        <v>2690</v>
      </c>
      <c r="D30" s="2602">
        <v>50</v>
      </c>
      <c r="E30" s="2602">
        <v>132</v>
      </c>
      <c r="F30" s="2603">
        <v>139</v>
      </c>
      <c r="G30" s="2604">
        <v>148</v>
      </c>
      <c r="H30" s="2604">
        <v>156.74145917760001</v>
      </c>
      <c r="I30" s="2602">
        <v>165.98920526907841</v>
      </c>
      <c r="J30" s="2603">
        <v>175.2846007641468</v>
      </c>
      <c r="K30" s="2313"/>
      <c r="L30" s="2313"/>
      <c r="M30" s="2313"/>
      <c r="N30" s="2313"/>
      <c r="O30" s="2313"/>
      <c r="P30" s="2313"/>
      <c r="Q30" s="2313"/>
      <c r="R30" s="2313"/>
    </row>
    <row r="31" spans="1:18" ht="12.75" customHeight="1" x14ac:dyDescent="0.25">
      <c r="A31" s="2530" t="s">
        <v>2668</v>
      </c>
      <c r="B31" s="2542"/>
      <c r="C31" s="2602" t="s">
        <v>2690</v>
      </c>
      <c r="D31" s="2602">
        <v>50</v>
      </c>
      <c r="E31" s="2602">
        <v>132</v>
      </c>
      <c r="F31" s="2603">
        <v>139</v>
      </c>
      <c r="G31" s="2604">
        <v>148</v>
      </c>
      <c r="H31" s="2604">
        <v>156.74502878495997</v>
      </c>
      <c r="I31" s="2602">
        <v>165.99298548327261</v>
      </c>
      <c r="J31" s="2603">
        <v>175.28859267033587</v>
      </c>
      <c r="K31" s="2313"/>
      <c r="L31" s="2313"/>
      <c r="M31" s="2313"/>
      <c r="N31" s="2313"/>
      <c r="O31" s="2313"/>
      <c r="P31" s="2313"/>
      <c r="Q31" s="2313"/>
      <c r="R31" s="2313"/>
    </row>
    <row r="32" spans="1:18" ht="12.75" customHeight="1" x14ac:dyDescent="0.25">
      <c r="A32" s="2530"/>
      <c r="B32" s="2542"/>
      <c r="C32" s="2602" t="s">
        <v>2124</v>
      </c>
      <c r="D32" s="2602"/>
      <c r="E32" s="2602"/>
      <c r="F32" s="2603"/>
      <c r="G32" s="2604"/>
      <c r="H32" s="2604"/>
      <c r="I32" s="2602"/>
      <c r="J32" s="2603"/>
      <c r="K32" s="2313"/>
      <c r="L32" s="2313"/>
      <c r="M32" s="2313"/>
      <c r="N32" s="2313"/>
      <c r="O32" s="2313"/>
      <c r="P32" s="2313"/>
      <c r="Q32" s="2313"/>
      <c r="R32" s="2313"/>
    </row>
    <row r="33" spans="1:19" ht="12.75" customHeight="1" x14ac:dyDescent="0.25">
      <c r="A33" s="2530"/>
      <c r="B33" s="2542"/>
      <c r="C33" s="2602" t="s">
        <v>2124</v>
      </c>
      <c r="D33" s="2602"/>
      <c r="E33" s="2602"/>
      <c r="F33" s="2603"/>
      <c r="G33" s="2604"/>
      <c r="H33" s="2604"/>
      <c r="I33" s="2602"/>
      <c r="J33" s="2603"/>
      <c r="K33" s="2303"/>
      <c r="L33" s="2303"/>
      <c r="M33" s="2303"/>
      <c r="N33" s="2303"/>
      <c r="O33" s="2303"/>
      <c r="P33" s="2303"/>
      <c r="Q33" s="2303"/>
      <c r="R33" s="2303"/>
    </row>
    <row r="34" spans="1:19" ht="12.75" customHeight="1" x14ac:dyDescent="0.25">
      <c r="A34" s="2530"/>
      <c r="B34" s="2542"/>
      <c r="C34" s="2602" t="s">
        <v>2124</v>
      </c>
      <c r="D34" s="2602"/>
      <c r="E34" s="2602"/>
      <c r="F34" s="2603"/>
      <c r="G34" s="2604"/>
      <c r="H34" s="2604"/>
      <c r="I34" s="2602"/>
      <c r="J34" s="2603"/>
      <c r="K34" s="2314"/>
      <c r="L34" s="2314"/>
      <c r="M34" s="2314"/>
      <c r="N34" s="2314"/>
      <c r="O34" s="2314"/>
      <c r="P34" s="2314"/>
      <c r="Q34" s="2314"/>
      <c r="R34" s="2314"/>
    </row>
    <row r="35" spans="1:19" ht="12.75" customHeight="1" x14ac:dyDescent="0.25">
      <c r="A35" s="2530"/>
      <c r="B35" s="2542"/>
      <c r="C35" s="2602" t="s">
        <v>2124</v>
      </c>
      <c r="D35" s="2602"/>
      <c r="E35" s="2602"/>
      <c r="F35" s="2603"/>
      <c r="G35" s="2604"/>
      <c r="H35" s="2604"/>
      <c r="I35" s="2602"/>
      <c r="J35" s="2603"/>
      <c r="K35" s="2314"/>
      <c r="L35" s="2314"/>
      <c r="M35" s="2314"/>
      <c r="N35" s="2314"/>
      <c r="O35" s="2314"/>
      <c r="P35" s="2314"/>
      <c r="Q35" s="2314"/>
      <c r="R35" s="2314"/>
    </row>
    <row r="36" spans="1:19" ht="5.0999999999999996" customHeight="1" x14ac:dyDescent="0.25">
      <c r="A36" s="2606"/>
      <c r="B36" s="2543"/>
      <c r="C36" s="2543"/>
      <c r="D36" s="2544"/>
      <c r="E36" s="2544"/>
      <c r="F36" s="2545"/>
      <c r="G36" s="2546"/>
      <c r="H36" s="2546"/>
      <c r="I36" s="2544"/>
      <c r="J36" s="2545"/>
      <c r="K36" s="2316"/>
      <c r="L36" s="2316"/>
      <c r="M36" s="2316"/>
      <c r="N36" s="2316"/>
      <c r="O36" s="2316"/>
      <c r="P36" s="2316"/>
      <c r="Q36" s="2316"/>
      <c r="R36" s="2316"/>
    </row>
    <row r="37" spans="1:19" ht="12.75" customHeight="1" x14ac:dyDescent="0.25">
      <c r="A37" s="2536" t="s">
        <v>2128</v>
      </c>
      <c r="B37" s="2542"/>
      <c r="C37" s="2543"/>
      <c r="D37" s="2544"/>
      <c r="E37" s="2544"/>
      <c r="F37" s="2545"/>
      <c r="G37" s="2546"/>
      <c r="H37" s="2546"/>
      <c r="I37" s="2544"/>
      <c r="J37" s="2545"/>
      <c r="K37" s="2304"/>
      <c r="L37" s="2304"/>
      <c r="M37" s="2304"/>
      <c r="N37" s="2304"/>
      <c r="O37" s="2304"/>
      <c r="P37" s="2304"/>
      <c r="Q37" s="2304"/>
      <c r="R37" s="2304"/>
    </row>
    <row r="38" spans="1:19" ht="12.75" customHeight="1" x14ac:dyDescent="0.25">
      <c r="A38" s="2530" t="s">
        <v>2256</v>
      </c>
      <c r="B38" s="2542"/>
      <c r="C38" s="2602" t="s">
        <v>2132</v>
      </c>
      <c r="D38" s="2602"/>
      <c r="E38" s="2602"/>
      <c r="F38" s="2603"/>
      <c r="G38" s="2604"/>
      <c r="H38" s="2604"/>
      <c r="I38" s="2602"/>
      <c r="J38" s="2603"/>
      <c r="K38" s="2317"/>
      <c r="L38" s="2317"/>
      <c r="M38" s="2317"/>
      <c r="N38" s="2317"/>
      <c r="O38" s="2317"/>
      <c r="P38" s="2317"/>
      <c r="Q38" s="2317"/>
      <c r="R38" s="2317"/>
    </row>
    <row r="39" spans="1:19" ht="12.75" customHeight="1" x14ac:dyDescent="0.25">
      <c r="A39" s="2530"/>
      <c r="B39" s="2542"/>
      <c r="C39" s="2602" t="s">
        <v>2132</v>
      </c>
      <c r="D39" s="2602"/>
      <c r="E39" s="2602"/>
      <c r="F39" s="2603"/>
      <c r="G39" s="2604"/>
      <c r="H39" s="2604"/>
      <c r="I39" s="2602"/>
      <c r="J39" s="2603"/>
      <c r="K39" s="1328"/>
      <c r="L39" s="1328"/>
      <c r="M39" s="1328"/>
      <c r="N39" s="1328"/>
      <c r="O39" s="1328"/>
      <c r="P39" s="1328"/>
      <c r="Q39" s="1328"/>
      <c r="R39" s="1328"/>
      <c r="S39" s="210">
        <f>SUM(C39:R39)</f>
        <v>0</v>
      </c>
    </row>
    <row r="40" spans="1:19" ht="12.75" customHeight="1" x14ac:dyDescent="0.25">
      <c r="A40" s="2530"/>
      <c r="B40" s="2542"/>
      <c r="C40" s="2602" t="s">
        <v>2132</v>
      </c>
      <c r="D40" s="2602"/>
      <c r="E40" s="2602"/>
      <c r="F40" s="2603"/>
      <c r="G40" s="2604"/>
      <c r="H40" s="2604"/>
      <c r="I40" s="2602"/>
      <c r="J40" s="2603"/>
      <c r="K40" s="1328"/>
      <c r="L40" s="1328"/>
      <c r="M40" s="1328"/>
      <c r="N40" s="1328"/>
      <c r="O40" s="1328"/>
      <c r="P40" s="1328"/>
      <c r="Q40" s="1328"/>
      <c r="R40" s="1328"/>
      <c r="S40" s="210">
        <f>SUM(C40:R40)</f>
        <v>0</v>
      </c>
    </row>
    <row r="41" spans="1:19" ht="12.75" customHeight="1" x14ac:dyDescent="0.25">
      <c r="A41" s="2530"/>
      <c r="B41" s="2542"/>
      <c r="C41" s="2602" t="s">
        <v>2132</v>
      </c>
      <c r="D41" s="2602"/>
      <c r="E41" s="2602"/>
      <c r="F41" s="2603"/>
      <c r="G41" s="2604"/>
      <c r="H41" s="2604"/>
      <c r="I41" s="2602"/>
      <c r="J41" s="2603"/>
      <c r="K41" s="2318"/>
      <c r="L41" s="2318"/>
      <c r="M41" s="2318"/>
      <c r="N41" s="2318"/>
      <c r="O41" s="2318"/>
      <c r="P41" s="2318"/>
      <c r="Q41" s="2318"/>
      <c r="R41" s="2318"/>
    </row>
    <row r="42" spans="1:19" ht="12.75" customHeight="1" x14ac:dyDescent="0.25">
      <c r="A42" s="2530"/>
      <c r="B42" s="2542"/>
      <c r="C42" s="2602" t="s">
        <v>2132</v>
      </c>
      <c r="D42" s="2602"/>
      <c r="E42" s="2602"/>
      <c r="F42" s="2603"/>
      <c r="G42" s="2604"/>
      <c r="H42" s="2604"/>
      <c r="I42" s="2602"/>
      <c r="J42" s="2603"/>
      <c r="K42" s="2319"/>
      <c r="L42" s="2319"/>
      <c r="M42" s="2319"/>
      <c r="N42" s="2319"/>
      <c r="O42" s="2319"/>
      <c r="P42" s="2319"/>
      <c r="Q42" s="2319"/>
      <c r="R42" s="2319"/>
    </row>
    <row r="43" spans="1:19" ht="12.75" customHeight="1" x14ac:dyDescent="0.25">
      <c r="A43" s="2530"/>
      <c r="B43" s="2542"/>
      <c r="C43" s="2602" t="s">
        <v>2132</v>
      </c>
      <c r="D43" s="2602"/>
      <c r="E43" s="2602"/>
      <c r="F43" s="2603"/>
      <c r="G43" s="2604"/>
      <c r="H43" s="2604"/>
      <c r="I43" s="2602"/>
      <c r="J43" s="2603"/>
      <c r="K43" s="2319"/>
      <c r="L43" s="2319"/>
      <c r="M43" s="2319"/>
      <c r="N43" s="2319"/>
      <c r="O43" s="2319"/>
      <c r="P43" s="2319"/>
      <c r="Q43" s="2319"/>
      <c r="R43" s="2319"/>
    </row>
    <row r="44" spans="1:19" ht="12.75" customHeight="1" x14ac:dyDescent="0.25">
      <c r="A44" s="2530"/>
      <c r="B44" s="2542"/>
      <c r="C44" s="2602" t="s">
        <v>2132</v>
      </c>
      <c r="D44" s="2602"/>
      <c r="E44" s="2602"/>
      <c r="F44" s="2603"/>
      <c r="G44" s="2604"/>
      <c r="H44" s="2604"/>
      <c r="I44" s="2602"/>
      <c r="J44" s="2603"/>
      <c r="K44" s="2319"/>
      <c r="L44" s="2319"/>
      <c r="M44" s="2319"/>
      <c r="N44" s="2319"/>
      <c r="O44" s="2319"/>
      <c r="P44" s="2319"/>
      <c r="Q44" s="2319"/>
      <c r="R44" s="2319"/>
    </row>
    <row r="45" spans="1:19" ht="12.75" customHeight="1" x14ac:dyDescent="0.25">
      <c r="A45" s="2530"/>
      <c r="B45" s="2542"/>
      <c r="C45" s="2602" t="s">
        <v>2132</v>
      </c>
      <c r="D45" s="2602"/>
      <c r="E45" s="2602"/>
      <c r="F45" s="2603"/>
      <c r="G45" s="2604"/>
      <c r="H45" s="2604"/>
      <c r="I45" s="2602"/>
      <c r="J45" s="2603"/>
      <c r="K45" s="2319"/>
      <c r="L45" s="2319"/>
      <c r="M45" s="2319"/>
      <c r="N45" s="2319"/>
      <c r="O45" s="2319"/>
      <c r="P45" s="2319"/>
      <c r="Q45" s="2319"/>
      <c r="R45" s="2319"/>
    </row>
    <row r="46" spans="1:19" ht="12.75" customHeight="1" x14ac:dyDescent="0.25">
      <c r="A46" s="2530"/>
      <c r="B46" s="2542"/>
      <c r="C46" s="2602" t="s">
        <v>2132</v>
      </c>
      <c r="D46" s="2602"/>
      <c r="E46" s="2602"/>
      <c r="F46" s="2603"/>
      <c r="G46" s="2604"/>
      <c r="H46" s="2604"/>
      <c r="I46" s="2602"/>
      <c r="J46" s="2603"/>
      <c r="K46" s="2319"/>
      <c r="L46" s="2319"/>
      <c r="M46" s="2319"/>
      <c r="N46" s="2319"/>
      <c r="O46" s="2319"/>
      <c r="P46" s="2319"/>
      <c r="Q46" s="2319"/>
      <c r="R46" s="2319"/>
    </row>
    <row r="47" spans="1:19" ht="12.75" customHeight="1" x14ac:dyDescent="0.25">
      <c r="A47" s="2530"/>
      <c r="B47" s="2542"/>
      <c r="C47" s="2602" t="s">
        <v>2132</v>
      </c>
      <c r="D47" s="2602"/>
      <c r="E47" s="2602"/>
      <c r="F47" s="2603"/>
      <c r="G47" s="2604"/>
      <c r="H47" s="2604"/>
      <c r="I47" s="2602"/>
      <c r="J47" s="2603"/>
      <c r="K47" s="2319"/>
      <c r="L47" s="2319"/>
      <c r="M47" s="2319"/>
      <c r="N47" s="2319"/>
      <c r="O47" s="2319"/>
      <c r="P47" s="2319"/>
      <c r="Q47" s="2319"/>
      <c r="R47" s="2319"/>
    </row>
    <row r="48" spans="1:19" ht="12.75" customHeight="1" x14ac:dyDescent="0.25">
      <c r="A48" s="2530"/>
      <c r="B48" s="2542"/>
      <c r="C48" s="2602" t="s">
        <v>2132</v>
      </c>
      <c r="D48" s="2602"/>
      <c r="E48" s="2602"/>
      <c r="F48" s="2603"/>
      <c r="G48" s="2604"/>
      <c r="H48" s="2604"/>
      <c r="I48" s="2602"/>
      <c r="J48" s="2603"/>
      <c r="K48" s="261"/>
      <c r="L48" s="261"/>
      <c r="M48" s="261"/>
      <c r="N48" s="261"/>
      <c r="O48" s="261"/>
      <c r="P48" s="261"/>
      <c r="Q48" s="261"/>
      <c r="R48" s="261"/>
    </row>
    <row r="49" spans="1:18" ht="12.75" customHeight="1" x14ac:dyDescent="0.25">
      <c r="A49" s="2530"/>
      <c r="B49" s="2542"/>
      <c r="C49" s="2602" t="s">
        <v>2132</v>
      </c>
      <c r="D49" s="2602"/>
      <c r="E49" s="2602"/>
      <c r="F49" s="2603"/>
      <c r="G49" s="2604"/>
      <c r="H49" s="2604"/>
      <c r="I49" s="2602"/>
      <c r="J49" s="2603"/>
      <c r="K49" s="363"/>
      <c r="L49" s="363"/>
      <c r="M49" s="363"/>
      <c r="N49" s="363"/>
      <c r="O49" s="363"/>
      <c r="P49" s="363"/>
      <c r="Q49" s="363"/>
      <c r="R49" s="363"/>
    </row>
    <row r="50" spans="1:18" s="1058" customFormat="1" ht="12.75" customHeight="1" x14ac:dyDescent="0.25">
      <c r="A50" s="2530"/>
      <c r="B50" s="2542"/>
      <c r="C50" s="2602" t="s">
        <v>2132</v>
      </c>
      <c r="D50" s="2602"/>
      <c r="E50" s="2602"/>
      <c r="F50" s="2603"/>
      <c r="G50" s="2604"/>
      <c r="H50" s="2604"/>
      <c r="I50" s="2602"/>
      <c r="J50" s="2603"/>
      <c r="K50" s="1035"/>
      <c r="L50" s="1035"/>
      <c r="M50" s="1035"/>
      <c r="N50" s="1035"/>
      <c r="O50" s="1035"/>
      <c r="P50" s="1035"/>
      <c r="Q50" s="1035"/>
      <c r="R50" s="1035"/>
    </row>
    <row r="51" spans="1:18" s="1058" customFormat="1" ht="6" customHeight="1" x14ac:dyDescent="0.25">
      <c r="A51" s="2594"/>
      <c r="B51" s="2595"/>
      <c r="C51" s="2596"/>
      <c r="D51" s="2596"/>
      <c r="E51" s="2596"/>
      <c r="F51" s="2597"/>
      <c r="G51" s="2598"/>
      <c r="H51" s="2598"/>
      <c r="I51" s="2596"/>
      <c r="J51" s="2597"/>
      <c r="K51" s="1035"/>
      <c r="L51" s="1035"/>
      <c r="M51" s="1035"/>
      <c r="N51" s="1035"/>
      <c r="O51" s="1035"/>
      <c r="P51" s="1035"/>
      <c r="Q51" s="1035"/>
      <c r="R51" s="1035"/>
    </row>
    <row r="52" spans="1:18" s="1058" customFormat="1" ht="12.75" customHeight="1" x14ac:dyDescent="0.25">
      <c r="A52" s="2587"/>
      <c r="B52" s="2588"/>
      <c r="C52" s="2589"/>
      <c r="D52" s="2589"/>
      <c r="E52" s="2589"/>
      <c r="F52" s="2589"/>
      <c r="G52" s="2589"/>
      <c r="H52" s="2589"/>
      <c r="I52" s="2589"/>
      <c r="J52" s="2589"/>
      <c r="K52" s="1035"/>
      <c r="L52" s="1035"/>
      <c r="M52" s="1035"/>
      <c r="N52" s="1035"/>
      <c r="O52" s="1035"/>
      <c r="P52" s="1035"/>
      <c r="Q52" s="1035"/>
      <c r="R52" s="1035"/>
    </row>
    <row r="53" spans="1:18" s="1058" customFormat="1" ht="12.75" customHeight="1" x14ac:dyDescent="0.25">
      <c r="A53" s="2587"/>
      <c r="B53" s="2588"/>
      <c r="C53" s="2589"/>
      <c r="D53" s="2589"/>
      <c r="E53" s="2589"/>
      <c r="F53" s="2589"/>
      <c r="G53" s="2589"/>
      <c r="H53" s="2589"/>
      <c r="I53" s="2589"/>
      <c r="J53" s="2589"/>
      <c r="K53" s="1035"/>
      <c r="L53" s="1035"/>
      <c r="M53" s="1035"/>
      <c r="N53" s="1035"/>
      <c r="O53" s="1035"/>
      <c r="P53" s="1035"/>
      <c r="Q53" s="1035"/>
      <c r="R53" s="1035"/>
    </row>
    <row r="54" spans="1:18" s="1058" customFormat="1" ht="12.75" customHeight="1" x14ac:dyDescent="0.25">
      <c r="A54" s="2587"/>
      <c r="B54" s="2588"/>
      <c r="C54" s="2589"/>
      <c r="D54" s="2589"/>
      <c r="E54" s="2589"/>
      <c r="F54" s="2589"/>
      <c r="G54" s="2589"/>
      <c r="H54" s="2589"/>
      <c r="I54" s="2589"/>
      <c r="J54" s="2589"/>
      <c r="K54" s="1035"/>
      <c r="L54" s="1035"/>
      <c r="M54" s="1035"/>
      <c r="N54" s="1035"/>
      <c r="O54" s="1035"/>
      <c r="P54" s="1035"/>
      <c r="Q54" s="1035"/>
      <c r="R54" s="1035"/>
    </row>
    <row r="55" spans="1:18" s="1058" customFormat="1" ht="12.75" customHeight="1" x14ac:dyDescent="0.25">
      <c r="A55" s="2587"/>
      <c r="B55" s="2588"/>
      <c r="C55" s="2589"/>
      <c r="D55" s="2589"/>
      <c r="E55" s="2589"/>
      <c r="F55" s="2589"/>
      <c r="G55" s="2589"/>
      <c r="H55" s="2589"/>
      <c r="I55" s="2589"/>
      <c r="J55" s="2589"/>
      <c r="K55" s="1035"/>
      <c r="L55" s="1035"/>
      <c r="M55" s="1035"/>
      <c r="N55" s="1035"/>
      <c r="O55" s="1035"/>
      <c r="P55" s="1035"/>
      <c r="Q55" s="1035"/>
      <c r="R55" s="1035"/>
    </row>
    <row r="56" spans="1:18" s="1058" customFormat="1" ht="12.75" customHeight="1" x14ac:dyDescent="0.25">
      <c r="A56" s="2587"/>
      <c r="B56" s="2588"/>
      <c r="C56" s="2589"/>
      <c r="D56" s="2589"/>
      <c r="E56" s="2589"/>
      <c r="F56" s="2589"/>
      <c r="G56" s="2589"/>
      <c r="H56" s="2589"/>
      <c r="I56" s="2589"/>
      <c r="J56" s="2589"/>
      <c r="K56" s="1035"/>
      <c r="L56" s="1035"/>
      <c r="M56" s="1035"/>
      <c r="N56" s="1035"/>
      <c r="O56" s="1035"/>
      <c r="P56" s="1035"/>
      <c r="Q56" s="1035"/>
      <c r="R56" s="1035"/>
    </row>
    <row r="57" spans="1:18" ht="12.75" customHeight="1" x14ac:dyDescent="0.25">
      <c r="A57" s="2590"/>
      <c r="B57" s="2588"/>
      <c r="C57" s="2589"/>
      <c r="D57" s="2589"/>
      <c r="E57" s="2589"/>
      <c r="F57" s="2589"/>
      <c r="G57" s="2589"/>
      <c r="H57" s="2589"/>
      <c r="I57" s="2589"/>
      <c r="J57" s="2589"/>
      <c r="K57" s="930"/>
      <c r="L57" s="930"/>
      <c r="M57" s="930"/>
      <c r="N57" s="930"/>
      <c r="O57" s="930"/>
      <c r="P57" s="930"/>
      <c r="Q57" s="930"/>
      <c r="R57" s="930"/>
    </row>
    <row r="58" spans="1:18" ht="12.75" customHeight="1" x14ac:dyDescent="0.25">
      <c r="A58" s="2591"/>
      <c r="B58" s="2588"/>
      <c r="C58" s="2588"/>
      <c r="D58" s="2589"/>
      <c r="E58" s="2589"/>
      <c r="F58" s="2589"/>
      <c r="G58" s="2589"/>
      <c r="H58" s="2589"/>
      <c r="I58" s="2589"/>
      <c r="J58" s="2589"/>
      <c r="K58" s="2300"/>
      <c r="L58" s="2300"/>
      <c r="M58" s="2300"/>
      <c r="N58" s="2300"/>
      <c r="O58" s="2300"/>
      <c r="P58" s="2300"/>
      <c r="Q58" s="2300"/>
      <c r="R58" s="2300"/>
    </row>
    <row r="59" spans="1:18" ht="15" customHeight="1" x14ac:dyDescent="0.25">
      <c r="A59" s="2592"/>
      <c r="B59" s="2588"/>
      <c r="C59" s="2588"/>
      <c r="D59" s="2589"/>
      <c r="E59" s="2589"/>
      <c r="F59" s="2589"/>
      <c r="G59" s="2589"/>
      <c r="H59" s="2589"/>
      <c r="I59" s="2589"/>
      <c r="J59" s="2589"/>
      <c r="K59" s="238"/>
      <c r="L59" s="238"/>
      <c r="M59" s="238"/>
      <c r="N59" s="238"/>
      <c r="O59" s="238"/>
      <c r="P59" s="238"/>
      <c r="Q59" s="238"/>
      <c r="R59" s="238"/>
    </row>
    <row r="60" spans="1:18" ht="12.75" customHeight="1" x14ac:dyDescent="0.25">
      <c r="A60" s="2591"/>
      <c r="B60" s="2588"/>
      <c r="C60" s="2588"/>
      <c r="D60" s="2589"/>
      <c r="E60" s="2589"/>
      <c r="F60" s="2589"/>
      <c r="G60" s="2589"/>
      <c r="H60" s="2589"/>
      <c r="I60" s="2589"/>
      <c r="J60" s="2589"/>
      <c r="K60" s="238"/>
      <c r="L60" s="238"/>
      <c r="M60" s="238"/>
      <c r="N60" s="238"/>
      <c r="O60" s="238"/>
      <c r="P60" s="238"/>
      <c r="Q60" s="238"/>
      <c r="R60" s="238"/>
    </row>
    <row r="61" spans="1:18" ht="12.75" customHeight="1" x14ac:dyDescent="0.25">
      <c r="A61" s="2587"/>
      <c r="B61" s="2588"/>
      <c r="C61" s="2589"/>
      <c r="D61" s="2589"/>
      <c r="E61" s="2589"/>
      <c r="F61" s="2589"/>
      <c r="G61" s="2589"/>
      <c r="H61" s="2589"/>
      <c r="I61" s="2589"/>
      <c r="J61" s="2589"/>
      <c r="K61" s="2091"/>
      <c r="L61" s="2091"/>
      <c r="M61" s="2091"/>
      <c r="N61" s="2091"/>
      <c r="O61" s="2091"/>
      <c r="P61" s="2091"/>
      <c r="Q61" s="2091"/>
      <c r="R61" s="2091"/>
    </row>
    <row r="62" spans="1:18" ht="12.75" customHeight="1" x14ac:dyDescent="0.25">
      <c r="A62" s="2587"/>
      <c r="B62" s="2588"/>
      <c r="C62" s="2589"/>
      <c r="D62" s="2589"/>
      <c r="E62" s="2589"/>
      <c r="F62" s="2589"/>
      <c r="G62" s="2589"/>
      <c r="H62" s="2589"/>
      <c r="I62" s="2589"/>
      <c r="J62" s="2589"/>
      <c r="K62" s="2091"/>
      <c r="L62" s="2091"/>
      <c r="M62" s="2091"/>
      <c r="N62" s="2091"/>
      <c r="O62" s="2091"/>
      <c r="P62" s="2091"/>
      <c r="Q62" s="2091"/>
      <c r="R62" s="2091"/>
    </row>
    <row r="63" spans="1:18" ht="12.75" customHeight="1" x14ac:dyDescent="0.25">
      <c r="A63" s="2587"/>
      <c r="B63" s="2588"/>
      <c r="C63" s="2589"/>
      <c r="D63" s="2589"/>
      <c r="E63" s="2589"/>
      <c r="F63" s="2589"/>
      <c r="G63" s="2589"/>
      <c r="H63" s="2589"/>
      <c r="I63" s="2589"/>
      <c r="J63" s="2589"/>
      <c r="K63" s="2091"/>
      <c r="L63" s="2091"/>
      <c r="M63" s="2091"/>
      <c r="N63" s="2091"/>
      <c r="O63" s="2091"/>
      <c r="P63" s="2091"/>
      <c r="Q63" s="2091"/>
      <c r="R63" s="2091"/>
    </row>
    <row r="64" spans="1:18" ht="12.75" customHeight="1" x14ac:dyDescent="0.25">
      <c r="A64" s="2587"/>
      <c r="B64" s="2588"/>
      <c r="C64" s="2589"/>
      <c r="D64" s="2589"/>
      <c r="E64" s="2589"/>
      <c r="F64" s="2589"/>
      <c r="G64" s="2589"/>
      <c r="H64" s="2589"/>
      <c r="I64" s="2589"/>
      <c r="J64" s="2589"/>
      <c r="K64" s="2091"/>
      <c r="L64" s="2091"/>
      <c r="M64" s="2091"/>
      <c r="N64" s="2091"/>
      <c r="O64" s="2091"/>
      <c r="P64" s="2091"/>
      <c r="Q64" s="2091"/>
      <c r="R64" s="2091"/>
    </row>
    <row r="65" spans="1:18" ht="12.75" customHeight="1" x14ac:dyDescent="0.25">
      <c r="A65" s="2587"/>
      <c r="B65" s="2588"/>
      <c r="C65" s="2589"/>
      <c r="D65" s="2589"/>
      <c r="E65" s="2589"/>
      <c r="F65" s="2589"/>
      <c r="G65" s="2589"/>
      <c r="H65" s="2589"/>
      <c r="I65" s="2589"/>
      <c r="J65" s="2589"/>
      <c r="K65" s="2091"/>
      <c r="L65" s="2091"/>
      <c r="M65" s="2091"/>
      <c r="N65" s="2091"/>
      <c r="O65" s="2091"/>
      <c r="P65" s="2091"/>
      <c r="Q65" s="2091"/>
      <c r="R65" s="2091"/>
    </row>
    <row r="66" spans="1:18" ht="12.75" customHeight="1" x14ac:dyDescent="0.25">
      <c r="A66" s="2587"/>
      <c r="B66" s="2588"/>
      <c r="C66" s="2589"/>
      <c r="D66" s="2589"/>
      <c r="E66" s="2589"/>
      <c r="F66" s="2589"/>
      <c r="G66" s="2589"/>
      <c r="H66" s="2589"/>
      <c r="I66" s="2589"/>
      <c r="J66" s="2589"/>
      <c r="K66" s="2091"/>
      <c r="L66" s="2091"/>
      <c r="M66" s="2091"/>
      <c r="N66" s="2091"/>
      <c r="O66" s="2091"/>
      <c r="P66" s="2091"/>
      <c r="Q66" s="2091"/>
      <c r="R66" s="2091"/>
    </row>
    <row r="67" spans="1:18" ht="12.75" customHeight="1" x14ac:dyDescent="0.25">
      <c r="A67" s="2587"/>
      <c r="B67" s="2588"/>
      <c r="C67" s="2589"/>
      <c r="D67" s="2589"/>
      <c r="E67" s="2589"/>
      <c r="F67" s="2589"/>
      <c r="G67" s="2589"/>
      <c r="H67" s="2589"/>
      <c r="I67" s="2589"/>
      <c r="J67" s="2589"/>
      <c r="K67" s="2091"/>
      <c r="L67" s="2091"/>
      <c r="M67" s="2091"/>
      <c r="N67" s="2091"/>
      <c r="O67" s="2091"/>
      <c r="P67" s="2091"/>
      <c r="Q67" s="2091"/>
      <c r="R67" s="2091"/>
    </row>
    <row r="68" spans="1:18" ht="12.75" customHeight="1" x14ac:dyDescent="0.25">
      <c r="A68" s="2587"/>
      <c r="B68" s="2588"/>
      <c r="C68" s="2589"/>
      <c r="D68" s="2589"/>
      <c r="E68" s="2589"/>
      <c r="F68" s="2589"/>
      <c r="G68" s="2589"/>
      <c r="H68" s="2589"/>
      <c r="I68" s="2589"/>
      <c r="J68" s="2589"/>
      <c r="K68" s="2091"/>
      <c r="L68" s="2091"/>
      <c r="M68" s="2091"/>
      <c r="N68" s="2091"/>
      <c r="O68" s="2091"/>
      <c r="P68" s="2091"/>
      <c r="Q68" s="2091"/>
      <c r="R68" s="2091"/>
    </row>
    <row r="69" spans="1:18" ht="12.75" customHeight="1" x14ac:dyDescent="0.25">
      <c r="A69" s="2587"/>
      <c r="B69" s="2588"/>
      <c r="C69" s="2589"/>
      <c r="D69" s="2589"/>
      <c r="E69" s="2589"/>
      <c r="F69" s="2589"/>
      <c r="G69" s="2589"/>
      <c r="H69" s="2589"/>
      <c r="I69" s="2589"/>
      <c r="J69" s="2589"/>
      <c r="K69" s="2091"/>
      <c r="L69" s="2091"/>
      <c r="M69" s="2091"/>
      <c r="N69" s="2091"/>
      <c r="O69" s="2091"/>
      <c r="P69" s="2091"/>
      <c r="Q69" s="2091"/>
      <c r="R69" s="2091"/>
    </row>
    <row r="70" spans="1:18" ht="12.75" customHeight="1" x14ac:dyDescent="0.25">
      <c r="A70" s="2587"/>
      <c r="B70" s="2588"/>
      <c r="C70" s="2589"/>
      <c r="D70" s="2589"/>
      <c r="E70" s="2589"/>
      <c r="F70" s="2589"/>
      <c r="G70" s="2589"/>
      <c r="H70" s="2589"/>
      <c r="I70" s="2589"/>
      <c r="J70" s="2589"/>
      <c r="K70" s="2091"/>
      <c r="L70" s="2091"/>
      <c r="M70" s="2091"/>
      <c r="N70" s="2091"/>
      <c r="O70" s="2091"/>
      <c r="P70" s="2091"/>
      <c r="Q70" s="2091"/>
      <c r="R70" s="2091"/>
    </row>
    <row r="71" spans="1:18" ht="12.75" customHeight="1" x14ac:dyDescent="0.25">
      <c r="A71" s="2587"/>
      <c r="B71" s="2588"/>
      <c r="C71" s="2589"/>
      <c r="D71" s="2589"/>
      <c r="E71" s="2589"/>
      <c r="F71" s="2589"/>
      <c r="G71" s="2589"/>
      <c r="H71" s="2589"/>
      <c r="I71" s="2589"/>
      <c r="J71" s="2589"/>
      <c r="K71" s="2091"/>
      <c r="L71" s="2091"/>
      <c r="M71" s="2091"/>
      <c r="N71" s="2091"/>
      <c r="O71" s="2091"/>
      <c r="P71" s="2091"/>
      <c r="Q71" s="2091"/>
      <c r="R71" s="2091"/>
    </row>
    <row r="72" spans="1:18" ht="12.75" customHeight="1" x14ac:dyDescent="0.25">
      <c r="A72" s="2587"/>
      <c r="B72" s="2588"/>
      <c r="C72" s="2589"/>
      <c r="D72" s="2589"/>
      <c r="E72" s="2589"/>
      <c r="F72" s="2589"/>
      <c r="G72" s="2589"/>
      <c r="H72" s="2589"/>
      <c r="I72" s="2589"/>
      <c r="J72" s="2589"/>
      <c r="K72" s="2091"/>
      <c r="L72" s="2091"/>
      <c r="M72" s="2091"/>
      <c r="N72" s="2091"/>
      <c r="O72" s="2091"/>
      <c r="P72" s="2091"/>
      <c r="Q72" s="2091"/>
      <c r="R72" s="2091"/>
    </row>
    <row r="73" spans="1:18" ht="12.75" customHeight="1" x14ac:dyDescent="0.25">
      <c r="A73" s="2587"/>
      <c r="B73" s="2588"/>
      <c r="C73" s="2589"/>
      <c r="D73" s="2589"/>
      <c r="E73" s="2589"/>
      <c r="F73" s="2589"/>
      <c r="G73" s="2589"/>
      <c r="H73" s="2589"/>
      <c r="I73" s="2589"/>
      <c r="J73" s="2589"/>
      <c r="K73" s="2091"/>
      <c r="L73" s="2091"/>
      <c r="M73" s="2091"/>
      <c r="N73" s="2091"/>
      <c r="O73" s="2091"/>
      <c r="P73" s="2091"/>
      <c r="Q73" s="2091"/>
      <c r="R73" s="2091"/>
    </row>
    <row r="74" spans="1:18" ht="12.75" customHeight="1" x14ac:dyDescent="0.25">
      <c r="A74" s="2587"/>
      <c r="B74" s="2588"/>
      <c r="C74" s="2589"/>
      <c r="D74" s="2589"/>
      <c r="E74" s="2589"/>
      <c r="F74" s="2589"/>
      <c r="G74" s="2589"/>
      <c r="H74" s="2589"/>
      <c r="I74" s="2589"/>
      <c r="J74" s="2589"/>
      <c r="K74" s="2091"/>
      <c r="L74" s="2091"/>
      <c r="M74" s="2091"/>
      <c r="N74" s="2091"/>
      <c r="O74" s="2091"/>
      <c r="P74" s="2091"/>
      <c r="Q74" s="2091"/>
      <c r="R74" s="2091"/>
    </row>
    <row r="75" spans="1:18" ht="12.75" customHeight="1" x14ac:dyDescent="0.25">
      <c r="A75" s="2587"/>
      <c r="B75" s="2588"/>
      <c r="C75" s="2589"/>
      <c r="D75" s="2589"/>
      <c r="E75" s="2589"/>
      <c r="F75" s="2589"/>
      <c r="G75" s="2589"/>
      <c r="H75" s="2589"/>
      <c r="I75" s="2589"/>
      <c r="J75" s="2589"/>
      <c r="K75" s="2091"/>
      <c r="L75" s="2091"/>
      <c r="M75" s="2091"/>
      <c r="N75" s="2091"/>
      <c r="O75" s="2091"/>
      <c r="P75" s="2091"/>
      <c r="Q75" s="2091"/>
      <c r="R75" s="2091"/>
    </row>
    <row r="76" spans="1:18" ht="12.75" customHeight="1" x14ac:dyDescent="0.25">
      <c r="A76" s="2587"/>
      <c r="B76" s="2588"/>
      <c r="C76" s="2589"/>
      <c r="D76" s="2589"/>
      <c r="E76" s="2589"/>
      <c r="F76" s="2589"/>
      <c r="G76" s="2589"/>
      <c r="H76" s="2589"/>
      <c r="I76" s="2589"/>
      <c r="J76" s="2589"/>
      <c r="K76" s="2091"/>
      <c r="L76" s="2091"/>
      <c r="M76" s="2091"/>
      <c r="N76" s="2091"/>
      <c r="O76" s="2091"/>
      <c r="P76" s="2091"/>
      <c r="Q76" s="2091"/>
      <c r="R76" s="2091"/>
    </row>
    <row r="77" spans="1:18" ht="12.75" customHeight="1" x14ac:dyDescent="0.25">
      <c r="A77" s="2587"/>
      <c r="B77" s="2588"/>
      <c r="C77" s="2589"/>
      <c r="D77" s="2589"/>
      <c r="E77" s="2589"/>
      <c r="F77" s="2589"/>
      <c r="G77" s="2589"/>
      <c r="H77" s="2589"/>
      <c r="I77" s="2589"/>
      <c r="J77" s="2589"/>
      <c r="K77" s="2091"/>
      <c r="L77" s="2091"/>
      <c r="M77" s="2091"/>
      <c r="N77" s="2091"/>
      <c r="O77" s="2091"/>
      <c r="P77" s="2091"/>
      <c r="Q77" s="2091"/>
      <c r="R77" s="2091"/>
    </row>
    <row r="78" spans="1:18" ht="12.75" customHeight="1" x14ac:dyDescent="0.25">
      <c r="A78" s="2587"/>
      <c r="B78" s="2588"/>
      <c r="C78" s="2589"/>
      <c r="D78" s="2589"/>
      <c r="E78" s="2589"/>
      <c r="F78" s="2589"/>
      <c r="G78" s="2589"/>
      <c r="H78" s="2589"/>
      <c r="I78" s="2589"/>
      <c r="J78" s="2589"/>
      <c r="K78" s="2091"/>
      <c r="L78" s="2091"/>
      <c r="M78" s="2091"/>
      <c r="N78" s="2091"/>
      <c r="O78" s="2091"/>
      <c r="P78" s="2091"/>
      <c r="Q78" s="2091"/>
      <c r="R78" s="2091"/>
    </row>
    <row r="79" spans="1:18" ht="12.75" customHeight="1" x14ac:dyDescent="0.25">
      <c r="A79" s="2587"/>
      <c r="B79" s="2588"/>
      <c r="C79" s="2589"/>
      <c r="D79" s="2589"/>
      <c r="E79" s="2589"/>
      <c r="F79" s="2589"/>
      <c r="G79" s="2589"/>
      <c r="H79" s="2589"/>
      <c r="I79" s="2589"/>
      <c r="J79" s="2589"/>
      <c r="K79" s="2091"/>
      <c r="L79" s="2091"/>
      <c r="M79" s="2091"/>
      <c r="N79" s="2091"/>
      <c r="O79" s="2091"/>
      <c r="P79" s="2091"/>
      <c r="Q79" s="2091"/>
      <c r="R79" s="2091"/>
    </row>
    <row r="80" spans="1:18" ht="12.75" customHeight="1" x14ac:dyDescent="0.25">
      <c r="A80" s="2590"/>
      <c r="B80" s="2588"/>
      <c r="C80" s="2589"/>
      <c r="D80" s="2589"/>
      <c r="E80" s="2589"/>
      <c r="F80" s="2589"/>
      <c r="G80" s="2589"/>
      <c r="H80" s="2589"/>
      <c r="I80" s="2589"/>
      <c r="J80" s="2589"/>
      <c r="K80" s="2309"/>
      <c r="L80" s="2309"/>
      <c r="M80" s="2309"/>
      <c r="N80" s="2309"/>
      <c r="O80" s="2309"/>
      <c r="P80" s="2309"/>
      <c r="Q80" s="2309"/>
      <c r="R80" s="2309"/>
    </row>
    <row r="81" spans="1:18" ht="5.0999999999999996" customHeight="1" x14ac:dyDescent="0.25">
      <c r="A81" s="2591"/>
      <c r="B81" s="2588"/>
      <c r="C81" s="2588"/>
      <c r="D81" s="2589"/>
      <c r="E81" s="2589"/>
      <c r="F81" s="2589"/>
      <c r="G81" s="2589"/>
      <c r="H81" s="2589"/>
      <c r="I81" s="2589"/>
      <c r="J81" s="2589"/>
      <c r="K81" s="2311"/>
      <c r="L81" s="2311"/>
      <c r="M81" s="2311"/>
      <c r="N81" s="2311"/>
      <c r="O81" s="2311"/>
      <c r="P81" s="2311"/>
      <c r="Q81" s="2311"/>
      <c r="R81" s="2311"/>
    </row>
    <row r="82" spans="1:18" ht="12.75" customHeight="1" x14ac:dyDescent="0.25">
      <c r="A82" s="2592"/>
      <c r="B82" s="2588"/>
      <c r="C82" s="2588"/>
      <c r="D82" s="2589"/>
      <c r="E82" s="2589"/>
      <c r="F82" s="2589"/>
      <c r="G82" s="2589"/>
      <c r="H82" s="2589"/>
      <c r="I82" s="2589"/>
      <c r="J82" s="2589"/>
      <c r="K82" s="2312"/>
      <c r="L82" s="2312"/>
      <c r="M82" s="2312"/>
      <c r="N82" s="2312"/>
      <c r="O82" s="2312"/>
      <c r="P82" s="2312"/>
      <c r="Q82" s="2312"/>
      <c r="R82" s="2312"/>
    </row>
    <row r="83" spans="1:18" ht="12.75" customHeight="1" x14ac:dyDescent="0.25">
      <c r="A83" s="2591"/>
      <c r="B83" s="2588"/>
      <c r="C83" s="2588"/>
      <c r="D83" s="2589"/>
      <c r="E83" s="2589"/>
      <c r="F83" s="2589"/>
      <c r="G83" s="2589"/>
      <c r="H83" s="2589"/>
      <c r="I83" s="2589"/>
      <c r="J83" s="2589"/>
      <c r="K83" s="2311"/>
      <c r="L83" s="2311"/>
      <c r="M83" s="2311"/>
      <c r="N83" s="2311"/>
      <c r="O83" s="2311"/>
      <c r="P83" s="2311"/>
      <c r="Q83" s="2311"/>
      <c r="R83" s="2311"/>
    </row>
    <row r="84" spans="1:18" ht="12.75" customHeight="1" x14ac:dyDescent="0.25">
      <c r="A84" s="2587"/>
      <c r="B84" s="2588"/>
      <c r="C84" s="2589"/>
      <c r="D84" s="2589"/>
      <c r="E84" s="2589"/>
      <c r="F84" s="2589"/>
      <c r="G84" s="2589"/>
      <c r="H84" s="2589"/>
      <c r="I84" s="2589"/>
      <c r="J84" s="2589"/>
      <c r="K84" s="2311"/>
      <c r="L84" s="2311"/>
      <c r="M84" s="2311"/>
      <c r="N84" s="2311"/>
      <c r="O84" s="2311"/>
      <c r="P84" s="2311"/>
      <c r="Q84" s="2311"/>
      <c r="R84" s="2311"/>
    </row>
    <row r="85" spans="1:18" ht="12.75" customHeight="1" x14ac:dyDescent="0.25">
      <c r="A85" s="2587"/>
      <c r="B85" s="2588"/>
      <c r="C85" s="2589"/>
      <c r="D85" s="2589"/>
      <c r="E85" s="2589"/>
      <c r="F85" s="2589"/>
      <c r="G85" s="2589"/>
      <c r="H85" s="2589"/>
      <c r="I85" s="2589"/>
      <c r="J85" s="2589"/>
      <c r="K85" s="2311"/>
      <c r="L85" s="2311"/>
      <c r="M85" s="2311"/>
      <c r="N85" s="2311"/>
      <c r="O85" s="2311"/>
      <c r="P85" s="2311"/>
      <c r="Q85" s="2311"/>
      <c r="R85" s="2311"/>
    </row>
    <row r="86" spans="1:18" ht="12.75" customHeight="1" x14ac:dyDescent="0.25">
      <c r="A86" s="2587"/>
      <c r="B86" s="2588"/>
      <c r="C86" s="2589"/>
      <c r="D86" s="2589"/>
      <c r="E86" s="2589"/>
      <c r="F86" s="2589"/>
      <c r="G86" s="2589"/>
      <c r="H86" s="2589"/>
      <c r="I86" s="2589"/>
      <c r="J86" s="2589"/>
      <c r="K86" s="2311"/>
      <c r="L86" s="2311"/>
      <c r="M86" s="2311"/>
      <c r="N86" s="2311"/>
      <c r="O86" s="2311"/>
      <c r="P86" s="2311"/>
      <c r="Q86" s="2311"/>
      <c r="R86" s="2311"/>
    </row>
    <row r="87" spans="1:18" ht="12.75" customHeight="1" x14ac:dyDescent="0.25">
      <c r="A87" s="2587"/>
      <c r="B87" s="2588"/>
      <c r="C87" s="2589"/>
      <c r="D87" s="2589"/>
      <c r="E87" s="2589"/>
      <c r="F87" s="2589"/>
      <c r="G87" s="2589"/>
      <c r="H87" s="2589"/>
      <c r="I87" s="2589"/>
      <c r="J87" s="2589"/>
      <c r="K87" s="2311"/>
      <c r="L87" s="2311"/>
      <c r="M87" s="2311"/>
      <c r="N87" s="2311"/>
      <c r="O87" s="2311"/>
      <c r="P87" s="2311"/>
      <c r="Q87" s="2311"/>
      <c r="R87" s="2311"/>
    </row>
    <row r="88" spans="1:18" ht="5.0999999999999996" customHeight="1" x14ac:dyDescent="0.25">
      <c r="A88" s="2592"/>
      <c r="B88" s="2593"/>
      <c r="C88" s="2593"/>
      <c r="D88" s="2366"/>
      <c r="E88" s="2366"/>
      <c r="F88" s="2366"/>
      <c r="G88" s="2366"/>
      <c r="H88" s="2366"/>
      <c r="I88" s="2366"/>
      <c r="J88" s="2366"/>
      <c r="K88" s="2311"/>
      <c r="L88" s="2311"/>
      <c r="M88" s="2311"/>
      <c r="N88" s="2311"/>
      <c r="O88" s="2311"/>
      <c r="P88" s="2311"/>
      <c r="Q88" s="2311"/>
      <c r="R88" s="2311"/>
    </row>
    <row r="89" spans="1:18" ht="11.25" customHeight="1" x14ac:dyDescent="0.25">
      <c r="A89" s="1153"/>
      <c r="B89" s="703"/>
      <c r="C89" s="703"/>
      <c r="D89" s="704"/>
      <c r="E89" s="704"/>
      <c r="F89" s="704"/>
      <c r="G89" s="705"/>
      <c r="H89" s="704"/>
      <c r="I89" s="704"/>
      <c r="J89" s="706"/>
      <c r="K89" s="602"/>
      <c r="L89" s="602"/>
      <c r="M89" s="602"/>
      <c r="N89" s="602"/>
      <c r="O89" s="602"/>
      <c r="P89" s="602"/>
      <c r="Q89" s="602"/>
      <c r="R89" s="602"/>
    </row>
    <row r="90" spans="1:18" ht="11.25" customHeight="1" x14ac:dyDescent="0.25">
      <c r="A90" s="1413"/>
      <c r="B90" s="2560"/>
      <c r="C90" s="2560"/>
      <c r="D90" s="1411"/>
      <c r="E90" s="1411"/>
      <c r="F90" s="1411"/>
      <c r="G90" s="1411"/>
      <c r="H90" s="1411"/>
      <c r="I90" s="1411"/>
      <c r="J90" s="1411"/>
      <c r="K90" s="2313"/>
      <c r="L90" s="2313"/>
      <c r="M90" s="2313"/>
      <c r="N90" s="2313"/>
      <c r="O90" s="2313"/>
      <c r="P90" s="2313"/>
      <c r="Q90" s="2313"/>
      <c r="R90" s="2313"/>
    </row>
    <row r="91" spans="1:18" ht="11.25" customHeight="1" x14ac:dyDescent="0.25">
      <c r="A91" s="1413"/>
      <c r="B91" s="2560"/>
      <c r="C91" s="2560"/>
      <c r="D91" s="1411"/>
      <c r="E91" s="1411"/>
      <c r="F91" s="1411"/>
      <c r="G91" s="1411"/>
      <c r="H91" s="1411"/>
      <c r="I91" s="1411"/>
      <c r="J91" s="1411"/>
      <c r="K91" s="2313"/>
      <c r="L91" s="2313"/>
      <c r="M91" s="2313"/>
      <c r="N91" s="2313"/>
      <c r="O91" s="2313"/>
      <c r="P91" s="2313"/>
      <c r="Q91" s="2313"/>
      <c r="R91" s="2313"/>
    </row>
    <row r="92" spans="1:18" ht="11.25" customHeight="1" x14ac:dyDescent="0.25">
      <c r="A92" s="2561"/>
      <c r="B92" s="2562"/>
      <c r="C92" s="2563"/>
      <c r="D92" s="2563"/>
      <c r="E92" s="2563"/>
      <c r="F92" s="2563"/>
      <c r="G92" s="2563"/>
      <c r="H92" s="2563"/>
      <c r="I92" s="2563"/>
      <c r="J92" s="2563"/>
      <c r="K92" s="2313"/>
      <c r="L92" s="2313"/>
      <c r="M92" s="2313"/>
      <c r="N92" s="2313"/>
      <c r="O92" s="2313"/>
      <c r="P92" s="2313"/>
      <c r="Q92" s="2313"/>
      <c r="R92" s="2313"/>
    </row>
    <row r="93" spans="1:18" ht="11.25" customHeight="1" x14ac:dyDescent="0.25">
      <c r="A93" s="2301"/>
      <c r="C93" s="2313"/>
      <c r="D93" s="2313"/>
      <c r="E93" s="2313"/>
      <c r="F93" s="2313"/>
      <c r="G93" s="2313"/>
      <c r="H93" s="2313"/>
      <c r="I93" s="2313"/>
      <c r="J93" s="2313"/>
      <c r="K93" s="2313"/>
      <c r="L93" s="2313"/>
      <c r="M93" s="2313"/>
      <c r="N93" s="2313"/>
      <c r="O93" s="2313"/>
      <c r="P93" s="2313"/>
      <c r="Q93" s="2313"/>
      <c r="R93" s="2313"/>
    </row>
    <row r="94" spans="1:18" ht="21" customHeight="1" x14ac:dyDescent="0.25">
      <c r="A94" s="2575"/>
      <c r="B94" s="2311"/>
      <c r="C94" s="2313"/>
      <c r="D94" s="2313"/>
      <c r="E94" s="2313"/>
      <c r="F94" s="2313"/>
      <c r="G94" s="2313"/>
      <c r="H94" s="2313"/>
      <c r="I94" s="2313"/>
      <c r="J94" s="2313"/>
      <c r="K94" s="2313"/>
      <c r="L94" s="2313"/>
      <c r="M94" s="2313"/>
      <c r="N94" s="2313"/>
      <c r="O94" s="2313"/>
      <c r="P94" s="2313"/>
      <c r="Q94" s="2313"/>
      <c r="R94" s="2313"/>
    </row>
    <row r="95" spans="1:18" ht="22.5" customHeight="1" x14ac:dyDescent="0.25">
      <c r="A95" s="2836"/>
      <c r="B95" s="2836"/>
      <c r="C95" s="2835"/>
      <c r="D95" s="2835"/>
      <c r="E95" s="2835"/>
      <c r="F95" s="2835"/>
      <c r="G95" s="2835"/>
      <c r="H95" s="2571"/>
      <c r="I95" s="2571"/>
      <c r="J95" s="2571"/>
      <c r="K95" s="2313"/>
      <c r="L95" s="2313"/>
      <c r="M95" s="2313"/>
      <c r="N95" s="2313"/>
      <c r="O95" s="2313"/>
      <c r="P95" s="2313"/>
      <c r="Q95" s="2313"/>
      <c r="R95" s="2313"/>
    </row>
    <row r="96" spans="1:18" ht="36.75" customHeight="1" x14ac:dyDescent="0.25">
      <c r="A96" s="2836"/>
      <c r="B96" s="2836"/>
      <c r="C96" s="2835"/>
      <c r="D96" s="2835"/>
      <c r="E96" s="2835"/>
      <c r="F96" s="2835"/>
      <c r="G96" s="2835"/>
      <c r="H96" s="2570"/>
      <c r="I96" s="2570"/>
      <c r="J96" s="2570"/>
      <c r="K96" s="2303"/>
      <c r="L96" s="2303"/>
      <c r="M96" s="2303"/>
      <c r="N96" s="2303"/>
      <c r="O96" s="2303"/>
      <c r="P96" s="2303"/>
      <c r="Q96" s="2303"/>
      <c r="R96" s="2303"/>
    </row>
    <row r="97" spans="1:18" ht="21.75" customHeight="1" x14ac:dyDescent="0.25">
      <c r="A97" s="2576"/>
      <c r="B97" s="2572"/>
      <c r="C97" s="2573"/>
      <c r="D97" s="2573"/>
      <c r="E97" s="2573"/>
      <c r="F97" s="2573"/>
      <c r="G97" s="2573"/>
      <c r="H97" s="2573"/>
      <c r="I97" s="2573"/>
      <c r="J97" s="2573"/>
      <c r="K97" s="2314"/>
      <c r="L97" s="2314"/>
      <c r="M97" s="2314"/>
      <c r="N97" s="2314"/>
      <c r="O97" s="2314"/>
      <c r="P97" s="2314"/>
      <c r="Q97" s="2314"/>
      <c r="R97" s="2314"/>
    </row>
    <row r="98" spans="1:18" ht="11.45" customHeight="1" x14ac:dyDescent="0.25">
      <c r="A98" s="2577"/>
      <c r="B98" s="2572"/>
      <c r="C98" s="2573"/>
      <c r="D98" s="2573"/>
      <c r="E98" s="2573"/>
      <c r="F98" s="2573"/>
      <c r="G98" s="2573"/>
      <c r="H98" s="2573"/>
      <c r="I98" s="2573"/>
      <c r="J98" s="2573"/>
      <c r="K98" s="2314"/>
      <c r="L98" s="2314"/>
      <c r="M98" s="2314"/>
      <c r="N98" s="2314"/>
      <c r="O98" s="2314"/>
      <c r="P98" s="2314"/>
      <c r="Q98" s="2314"/>
      <c r="R98" s="2314"/>
    </row>
    <row r="99" spans="1:18" ht="11.45" customHeight="1" x14ac:dyDescent="0.25">
      <c r="A99" s="2577"/>
      <c r="B99" s="2572"/>
      <c r="C99" s="2573"/>
      <c r="D99" s="2573"/>
      <c r="E99" s="2573"/>
      <c r="F99" s="2573"/>
      <c r="G99" s="2573"/>
      <c r="H99" s="2573"/>
      <c r="I99" s="2573"/>
      <c r="J99" s="2573"/>
      <c r="K99" s="2314"/>
      <c r="L99" s="2314"/>
      <c r="M99" s="2314"/>
      <c r="N99" s="2314"/>
      <c r="O99" s="2314"/>
      <c r="P99" s="2314"/>
      <c r="Q99" s="2314"/>
      <c r="R99" s="2314"/>
    </row>
    <row r="100" spans="1:18" ht="11.45" customHeight="1" x14ac:dyDescent="0.25">
      <c r="A100" s="2577"/>
      <c r="B100" s="2572"/>
      <c r="C100" s="2573"/>
      <c r="D100" s="2573"/>
      <c r="E100" s="2573"/>
      <c r="F100" s="2573"/>
      <c r="G100" s="2573"/>
      <c r="H100" s="2573"/>
      <c r="I100" s="2573"/>
      <c r="J100" s="2573"/>
      <c r="K100" s="2314"/>
      <c r="L100" s="2314"/>
      <c r="M100" s="2314"/>
      <c r="N100" s="2314"/>
      <c r="O100" s="2314"/>
      <c r="P100" s="2314"/>
      <c r="Q100" s="2314"/>
      <c r="R100" s="2314"/>
    </row>
    <row r="101" spans="1:18" ht="21" customHeight="1" x14ac:dyDescent="0.25">
      <c r="A101" s="2576"/>
      <c r="B101" s="2572"/>
      <c r="C101" s="2573"/>
      <c r="D101" s="2573"/>
      <c r="E101" s="2573"/>
      <c r="F101" s="2573"/>
      <c r="G101" s="2573"/>
      <c r="H101" s="2573"/>
      <c r="I101" s="2573"/>
      <c r="J101" s="2573"/>
      <c r="K101" s="2314"/>
      <c r="L101" s="2314"/>
      <c r="M101" s="2314"/>
      <c r="N101" s="2314"/>
      <c r="O101" s="2314"/>
      <c r="P101" s="2314"/>
      <c r="Q101" s="2314"/>
      <c r="R101" s="2314"/>
    </row>
    <row r="102" spans="1:18" ht="11.45" customHeight="1" x14ac:dyDescent="0.25">
      <c r="A102" s="2577"/>
      <c r="B102" s="2572"/>
      <c r="C102" s="2573"/>
      <c r="D102" s="2573"/>
      <c r="E102" s="2573"/>
      <c r="F102" s="2573"/>
      <c r="G102" s="2573"/>
      <c r="H102" s="2573"/>
      <c r="I102" s="2573"/>
      <c r="J102" s="2573"/>
      <c r="K102" s="2314"/>
      <c r="L102" s="2314"/>
      <c r="M102" s="2314"/>
      <c r="N102" s="2314"/>
      <c r="O102" s="2314"/>
      <c r="P102" s="2314"/>
      <c r="Q102" s="2314"/>
      <c r="R102" s="2314"/>
    </row>
    <row r="103" spans="1:18" ht="11.45" customHeight="1" x14ac:dyDescent="0.25">
      <c r="A103" s="2577"/>
      <c r="B103" s="2572"/>
      <c r="C103" s="2573"/>
      <c r="D103" s="2573"/>
      <c r="E103" s="2573"/>
      <c r="F103" s="2573"/>
      <c r="G103" s="2573"/>
      <c r="H103" s="2573"/>
      <c r="I103" s="2573"/>
      <c r="J103" s="2573"/>
      <c r="K103" s="2314"/>
      <c r="L103" s="2314"/>
      <c r="M103" s="2314"/>
      <c r="N103" s="2314"/>
      <c r="O103" s="2314"/>
      <c r="P103" s="2314"/>
      <c r="Q103" s="2314"/>
      <c r="R103" s="2314"/>
    </row>
    <row r="104" spans="1:18" ht="11.45" customHeight="1" x14ac:dyDescent="0.25">
      <c r="A104" s="2577"/>
      <c r="B104" s="2572"/>
      <c r="C104" s="2573"/>
      <c r="D104" s="2573"/>
      <c r="E104" s="2573"/>
      <c r="F104" s="2573"/>
      <c r="G104" s="2573"/>
      <c r="H104" s="2573"/>
      <c r="I104" s="2573"/>
      <c r="J104" s="2573"/>
      <c r="K104" s="2314"/>
      <c r="L104" s="2314"/>
      <c r="M104" s="2314"/>
      <c r="N104" s="2314"/>
      <c r="O104" s="2314"/>
      <c r="P104" s="2314"/>
      <c r="Q104" s="2314"/>
      <c r="R104" s="2314"/>
    </row>
    <row r="105" spans="1:18" ht="11.45" customHeight="1" x14ac:dyDescent="0.25">
      <c r="A105" s="2577"/>
      <c r="B105" s="2572"/>
      <c r="C105" s="2573"/>
      <c r="D105" s="2573"/>
      <c r="E105" s="2573"/>
      <c r="F105" s="2573"/>
      <c r="G105" s="2573"/>
      <c r="H105" s="2573"/>
      <c r="I105" s="2573"/>
      <c r="J105" s="2573"/>
      <c r="K105" s="2314"/>
      <c r="L105" s="2314"/>
      <c r="M105" s="2314"/>
      <c r="N105" s="2314"/>
      <c r="O105" s="2314"/>
      <c r="P105" s="2314"/>
      <c r="Q105" s="2314"/>
      <c r="R105" s="2314"/>
    </row>
    <row r="106" spans="1:18" ht="21" customHeight="1" x14ac:dyDescent="0.25">
      <c r="A106" s="2576"/>
      <c r="B106" s="2572"/>
      <c r="C106" s="2573"/>
      <c r="D106" s="2573"/>
      <c r="E106" s="2573"/>
      <c r="F106" s="2573"/>
      <c r="G106" s="2573"/>
      <c r="H106" s="2573"/>
      <c r="I106" s="2573"/>
      <c r="J106" s="2573"/>
      <c r="K106" s="2314"/>
      <c r="L106" s="2314"/>
      <c r="M106" s="2314"/>
      <c r="N106" s="2314"/>
      <c r="O106" s="2314"/>
      <c r="P106" s="2314"/>
      <c r="Q106" s="2314"/>
      <c r="R106" s="2314"/>
    </row>
    <row r="107" spans="1:18" ht="11.45" customHeight="1" x14ac:dyDescent="0.25">
      <c r="A107" s="2577"/>
      <c r="B107" s="2572"/>
      <c r="C107" s="2573"/>
      <c r="D107" s="2573"/>
      <c r="E107" s="2573"/>
      <c r="F107" s="2573"/>
      <c r="G107" s="2573"/>
      <c r="H107" s="2573"/>
      <c r="I107" s="2573"/>
      <c r="J107" s="2573"/>
      <c r="K107" s="2314"/>
      <c r="L107" s="2314"/>
      <c r="M107" s="2314"/>
      <c r="N107" s="2314"/>
      <c r="O107" s="2314"/>
      <c r="P107" s="2314"/>
      <c r="Q107" s="2314"/>
      <c r="R107" s="2314"/>
    </row>
    <row r="108" spans="1:18" ht="11.45" customHeight="1" x14ac:dyDescent="0.25">
      <c r="A108" s="2577"/>
      <c r="B108" s="2572"/>
      <c r="C108" s="2573"/>
      <c r="D108" s="2573"/>
      <c r="E108" s="2573"/>
      <c r="F108" s="2573"/>
      <c r="G108" s="2573"/>
      <c r="H108" s="2573"/>
      <c r="I108" s="2573"/>
      <c r="J108" s="2573"/>
      <c r="K108" s="2314"/>
      <c r="L108" s="2314"/>
      <c r="M108" s="2314"/>
      <c r="N108" s="2314"/>
      <c r="O108" s="2314"/>
      <c r="P108" s="2314"/>
      <c r="Q108" s="2314"/>
      <c r="R108" s="2314"/>
    </row>
    <row r="109" spans="1:18" ht="11.45" customHeight="1" x14ac:dyDescent="0.25">
      <c r="A109" s="2577"/>
      <c r="B109" s="2572"/>
      <c r="C109" s="2573"/>
      <c r="D109" s="2573"/>
      <c r="E109" s="2573"/>
      <c r="F109" s="2573"/>
      <c r="G109" s="2573"/>
      <c r="H109" s="2573"/>
      <c r="I109" s="2573"/>
      <c r="J109" s="2573"/>
      <c r="K109" s="2314"/>
      <c r="L109" s="2314"/>
      <c r="M109" s="2314"/>
      <c r="N109" s="2314"/>
      <c r="O109" s="2314"/>
      <c r="P109" s="2314"/>
      <c r="Q109" s="2314"/>
      <c r="R109" s="2314"/>
    </row>
    <row r="110" spans="1:18" ht="21" customHeight="1" x14ac:dyDescent="0.25">
      <c r="A110" s="2576"/>
      <c r="B110" s="2572"/>
      <c r="C110" s="2573"/>
      <c r="D110" s="2573"/>
      <c r="E110" s="2573"/>
      <c r="F110" s="2573"/>
      <c r="G110" s="2573"/>
      <c r="H110" s="2573"/>
      <c r="I110" s="2573"/>
      <c r="J110" s="2573"/>
      <c r="K110" s="2316"/>
      <c r="L110" s="2316"/>
      <c r="M110" s="2316"/>
      <c r="N110" s="2316"/>
      <c r="O110" s="2316"/>
      <c r="P110" s="2316"/>
      <c r="Q110" s="2316"/>
      <c r="R110" s="2316"/>
    </row>
    <row r="111" spans="1:18" ht="11.45" customHeight="1" x14ac:dyDescent="0.25">
      <c r="A111" s="2577"/>
      <c r="B111" s="2572"/>
      <c r="C111" s="2573"/>
      <c r="D111" s="2573"/>
      <c r="E111" s="2573"/>
      <c r="F111" s="2573"/>
      <c r="G111" s="2573"/>
      <c r="H111" s="2573"/>
      <c r="I111" s="2573"/>
      <c r="J111" s="2573"/>
      <c r="K111" s="2316"/>
      <c r="L111" s="2316"/>
      <c r="M111" s="2316"/>
      <c r="N111" s="2316"/>
      <c r="O111" s="2316"/>
      <c r="P111" s="2316"/>
      <c r="Q111" s="2316"/>
      <c r="R111" s="2316"/>
    </row>
    <row r="112" spans="1:18" ht="11.45" customHeight="1" x14ac:dyDescent="0.25">
      <c r="A112" s="2577"/>
      <c r="B112" s="2572"/>
      <c r="C112" s="2573"/>
      <c r="D112" s="2573"/>
      <c r="E112" s="2573"/>
      <c r="F112" s="2573"/>
      <c r="G112" s="2573"/>
      <c r="H112" s="2573"/>
      <c r="I112" s="2573"/>
      <c r="J112" s="2573"/>
      <c r="K112" s="2316"/>
      <c r="L112" s="2316"/>
      <c r="M112" s="2316"/>
      <c r="N112" s="2316"/>
      <c r="O112" s="2316"/>
      <c r="P112" s="2316"/>
      <c r="Q112" s="2316"/>
      <c r="R112" s="2316"/>
    </row>
    <row r="113" spans="1:18" ht="11.45" customHeight="1" x14ac:dyDescent="0.25">
      <c r="A113" s="2577"/>
      <c r="B113" s="2572"/>
      <c r="C113" s="2573"/>
      <c r="D113" s="2573"/>
      <c r="E113" s="2573"/>
      <c r="F113" s="2573"/>
      <c r="G113" s="2573"/>
      <c r="H113" s="2573"/>
      <c r="I113" s="2573"/>
      <c r="J113" s="2573"/>
      <c r="K113" s="2316"/>
      <c r="L113" s="2316"/>
      <c r="M113" s="2316"/>
      <c r="N113" s="2316"/>
      <c r="O113" s="2316"/>
      <c r="P113" s="2316"/>
      <c r="Q113" s="2316"/>
      <c r="R113" s="2316"/>
    </row>
    <row r="114" spans="1:18" ht="5.25" customHeight="1" x14ac:dyDescent="0.25">
      <c r="A114" s="2574"/>
      <c r="B114" s="2572"/>
      <c r="C114" s="2573"/>
      <c r="D114" s="2573"/>
      <c r="E114" s="2573"/>
      <c r="F114" s="2573"/>
      <c r="G114" s="2573"/>
      <c r="H114" s="2573"/>
      <c r="I114" s="2573"/>
      <c r="J114" s="2573"/>
      <c r="K114" s="2304"/>
      <c r="L114" s="2304"/>
      <c r="M114" s="2304"/>
      <c r="N114" s="2304"/>
      <c r="O114" s="2304"/>
      <c r="P114" s="2304"/>
      <c r="Q114" s="2304"/>
      <c r="R114" s="2304"/>
    </row>
    <row r="115" spans="1:18" ht="11.25" customHeight="1" x14ac:dyDescent="0.25">
      <c r="A115" s="2301"/>
      <c r="B115" s="2315"/>
      <c r="C115" s="2316"/>
      <c r="D115" s="2316"/>
      <c r="E115" s="2316"/>
      <c r="F115" s="2316"/>
      <c r="G115" s="2316"/>
      <c r="H115" s="2316"/>
      <c r="I115" s="2316"/>
      <c r="J115" s="2316"/>
      <c r="K115" s="2317"/>
      <c r="L115" s="2317"/>
      <c r="M115" s="2317"/>
      <c r="N115" s="2317"/>
      <c r="O115" s="2317"/>
      <c r="P115" s="2317"/>
      <c r="Q115" s="2317"/>
      <c r="R115" s="2317"/>
    </row>
    <row r="116" spans="1:18" ht="11.25" customHeight="1" x14ac:dyDescent="0.25">
      <c r="A116" s="2308"/>
      <c r="B116" s="2315"/>
      <c r="C116" s="2304"/>
      <c r="D116" s="2304"/>
      <c r="E116" s="2304"/>
      <c r="F116" s="2304"/>
      <c r="G116" s="2304"/>
      <c r="H116" s="2304"/>
      <c r="I116" s="2304"/>
      <c r="J116" s="2304"/>
      <c r="K116" s="1328"/>
      <c r="L116" s="1328"/>
      <c r="M116" s="1328"/>
      <c r="N116" s="1328"/>
      <c r="O116" s="1328"/>
      <c r="P116" s="1328"/>
      <c r="Q116" s="1328"/>
      <c r="R116" s="1328"/>
    </row>
    <row r="117" spans="1:18" ht="11.25" customHeight="1" x14ac:dyDescent="0.25">
      <c r="A117" s="2301"/>
      <c r="B117" s="2305"/>
      <c r="C117" s="2317"/>
      <c r="D117" s="2317"/>
      <c r="E117" s="2317"/>
      <c r="F117" s="2317"/>
      <c r="G117" s="2317"/>
      <c r="H117" s="2317"/>
      <c r="I117" s="2317"/>
      <c r="J117" s="2317"/>
      <c r="K117" s="1328"/>
      <c r="L117" s="1328"/>
      <c r="M117" s="1328"/>
      <c r="N117" s="1328"/>
      <c r="O117" s="1328"/>
      <c r="P117" s="1328"/>
      <c r="Q117" s="1328"/>
      <c r="R117" s="1328"/>
    </row>
    <row r="118" spans="1:18" ht="11.25" customHeight="1" x14ac:dyDescent="0.25">
      <c r="A118" s="2301"/>
      <c r="B118" s="2305"/>
      <c r="C118" s="1328"/>
      <c r="D118" s="1328"/>
      <c r="E118" s="1328"/>
      <c r="F118" s="1328"/>
      <c r="G118" s="1328"/>
      <c r="H118" s="1328"/>
      <c r="I118" s="1328"/>
      <c r="J118" s="1328"/>
      <c r="K118" s="2318"/>
      <c r="L118" s="2318"/>
      <c r="M118" s="2318"/>
      <c r="N118" s="2318"/>
      <c r="O118" s="2318"/>
      <c r="P118" s="2318"/>
      <c r="Q118" s="2318"/>
      <c r="R118" s="2318"/>
    </row>
    <row r="119" spans="1:18" ht="11.25" customHeight="1" x14ac:dyDescent="0.25">
      <c r="A119" s="2301"/>
      <c r="B119" s="2305"/>
      <c r="C119" s="1328"/>
      <c r="D119" s="1328"/>
      <c r="E119" s="1328"/>
      <c r="F119" s="1328"/>
      <c r="G119" s="1328"/>
      <c r="H119" s="1328"/>
      <c r="I119" s="1328"/>
      <c r="J119" s="1328"/>
      <c r="K119" s="2319"/>
      <c r="L119" s="2319"/>
      <c r="M119" s="2319"/>
      <c r="N119" s="2319"/>
      <c r="O119" s="2319"/>
      <c r="P119" s="2319"/>
      <c r="Q119" s="2319"/>
      <c r="R119" s="2319"/>
    </row>
    <row r="120" spans="1:18" ht="11.25" customHeight="1" x14ac:dyDescent="0.25">
      <c r="A120" s="2301"/>
      <c r="B120" s="2305"/>
      <c r="C120" s="2318"/>
      <c r="D120" s="2318"/>
      <c r="E120" s="2318"/>
      <c r="F120" s="2318"/>
      <c r="G120" s="2318"/>
      <c r="H120" s="2318"/>
      <c r="I120" s="2318"/>
      <c r="J120" s="2318"/>
      <c r="K120" s="2319"/>
      <c r="L120" s="2319"/>
      <c r="M120" s="2319"/>
      <c r="N120" s="2319"/>
      <c r="O120" s="2319"/>
      <c r="P120" s="2319"/>
      <c r="Q120" s="2319"/>
      <c r="R120" s="2319"/>
    </row>
    <row r="121" spans="1:18" ht="11.25" customHeight="1" x14ac:dyDescent="0.25">
      <c r="A121" s="2301"/>
      <c r="B121" s="2305"/>
      <c r="C121" s="2319"/>
      <c r="D121" s="2319"/>
      <c r="E121" s="2319"/>
      <c r="F121" s="2319"/>
      <c r="G121" s="2319"/>
      <c r="H121" s="2319"/>
      <c r="I121" s="2319"/>
      <c r="J121" s="2319"/>
      <c r="K121" s="2319"/>
      <c r="L121" s="2319"/>
      <c r="M121" s="2319"/>
      <c r="N121" s="2319"/>
      <c r="O121" s="2319"/>
      <c r="P121" s="2319"/>
      <c r="Q121" s="2319"/>
      <c r="R121" s="2319"/>
    </row>
    <row r="122" spans="1:18" ht="11.25" customHeight="1" x14ac:dyDescent="0.25">
      <c r="A122" s="2301"/>
      <c r="B122" s="2305"/>
      <c r="C122" s="2319"/>
      <c r="D122" s="2319"/>
      <c r="E122" s="2319"/>
      <c r="F122" s="2319"/>
      <c r="G122" s="2319"/>
      <c r="H122" s="2319"/>
      <c r="I122" s="2319"/>
      <c r="J122" s="2319"/>
      <c r="K122" s="2319"/>
      <c r="L122" s="2319"/>
      <c r="M122" s="2319"/>
      <c r="N122" s="2319"/>
      <c r="O122" s="2319"/>
      <c r="P122" s="2319"/>
      <c r="Q122" s="2319"/>
      <c r="R122" s="2319"/>
    </row>
    <row r="123" spans="1:18" ht="11.25" customHeight="1" x14ac:dyDescent="0.25">
      <c r="A123" s="2301"/>
      <c r="B123" s="2305"/>
      <c r="C123" s="2319"/>
      <c r="D123" s="2319"/>
      <c r="E123" s="2319"/>
      <c r="F123" s="2319"/>
      <c r="G123" s="2319"/>
      <c r="H123" s="2319"/>
      <c r="I123" s="2319"/>
      <c r="J123" s="2319"/>
      <c r="K123" s="2319"/>
      <c r="L123" s="2319"/>
      <c r="M123" s="2319"/>
      <c r="N123" s="2319"/>
      <c r="O123" s="2319"/>
      <c r="P123" s="2319"/>
      <c r="Q123" s="2319"/>
      <c r="R123" s="2319"/>
    </row>
    <row r="124" spans="1:18" ht="11.25" customHeight="1" x14ac:dyDescent="0.25">
      <c r="A124" s="2301"/>
      <c r="B124" s="2305"/>
      <c r="C124" s="2319"/>
      <c r="D124" s="2319"/>
      <c r="E124" s="2319"/>
      <c r="F124" s="2319"/>
      <c r="G124" s="2319"/>
      <c r="H124" s="2319"/>
      <c r="I124" s="2319"/>
      <c r="J124" s="2319"/>
      <c r="K124" s="2319"/>
      <c r="L124" s="2319"/>
      <c r="M124" s="2319"/>
      <c r="N124" s="2319"/>
      <c r="O124" s="2319"/>
      <c r="P124" s="2319"/>
      <c r="Q124" s="2319"/>
      <c r="R124" s="2319"/>
    </row>
    <row r="125" spans="1:18" ht="11.25" customHeight="1" x14ac:dyDescent="0.25">
      <c r="A125" s="2301"/>
      <c r="B125" s="2305"/>
      <c r="C125" s="2319"/>
      <c r="D125" s="2319"/>
      <c r="E125" s="2319"/>
      <c r="F125" s="2319"/>
      <c r="G125" s="2319"/>
      <c r="H125" s="2319"/>
      <c r="I125" s="2319"/>
      <c r="J125" s="2319"/>
      <c r="K125" s="261"/>
      <c r="L125" s="261"/>
      <c r="M125" s="261"/>
      <c r="N125" s="261"/>
      <c r="O125" s="261"/>
      <c r="P125" s="261"/>
      <c r="Q125" s="261"/>
      <c r="R125" s="261"/>
    </row>
    <row r="126" spans="1:18" ht="5.0999999999999996" customHeight="1" x14ac:dyDescent="0.25">
      <c r="A126" s="2301"/>
      <c r="B126" s="2305"/>
      <c r="C126" s="2319"/>
      <c r="D126" s="2319"/>
      <c r="E126" s="2319"/>
      <c r="F126" s="2319"/>
      <c r="G126" s="2319"/>
      <c r="H126" s="2319"/>
      <c r="I126" s="2319"/>
      <c r="J126" s="2319"/>
      <c r="K126" s="363"/>
      <c r="L126" s="363"/>
      <c r="M126" s="363"/>
      <c r="N126" s="363"/>
      <c r="O126" s="363"/>
      <c r="P126" s="363"/>
      <c r="Q126" s="363"/>
      <c r="R126" s="363"/>
    </row>
    <row r="127" spans="1:18" s="1058" customFormat="1" x14ac:dyDescent="0.25">
      <c r="A127" s="2306"/>
      <c r="B127" s="2305"/>
      <c r="C127" s="261"/>
      <c r="D127" s="261"/>
      <c r="E127" s="261"/>
      <c r="F127" s="261"/>
      <c r="G127" s="261"/>
      <c r="H127" s="261"/>
      <c r="I127" s="261"/>
      <c r="J127" s="261"/>
      <c r="K127" s="1035"/>
      <c r="L127" s="1035"/>
      <c r="M127" s="1035"/>
      <c r="N127" s="1035"/>
      <c r="O127" s="1035"/>
      <c r="P127" s="1035"/>
      <c r="Q127" s="1035"/>
      <c r="R127" s="1035"/>
    </row>
    <row r="128" spans="1:18" s="1058" customFormat="1" x14ac:dyDescent="0.25">
      <c r="A128" s="2307"/>
      <c r="B128" s="2302"/>
      <c r="C128" s="363"/>
      <c r="D128" s="363"/>
      <c r="E128" s="363"/>
      <c r="F128" s="363"/>
      <c r="G128" s="363"/>
      <c r="H128" s="363"/>
      <c r="I128" s="363"/>
      <c r="J128" s="363"/>
      <c r="K128" s="1035"/>
      <c r="L128" s="1035"/>
      <c r="M128" s="1035"/>
      <c r="N128" s="1035"/>
      <c r="O128" s="1035"/>
      <c r="P128" s="1035"/>
      <c r="Q128" s="1035"/>
      <c r="R128" s="1035"/>
    </row>
    <row r="129" spans="1:18" s="1058" customFormat="1" x14ac:dyDescent="0.25">
      <c r="A129" s="2320"/>
      <c r="B129" s="2311"/>
      <c r="C129" s="1035"/>
      <c r="D129" s="1035"/>
      <c r="E129" s="1035"/>
      <c r="F129" s="1035"/>
      <c r="G129" s="1035"/>
      <c r="H129" s="1035"/>
      <c r="I129" s="1035"/>
      <c r="J129" s="1035"/>
      <c r="K129" s="1035"/>
      <c r="L129" s="1035"/>
      <c r="M129" s="1035"/>
      <c r="N129" s="1035"/>
      <c r="O129" s="1035"/>
      <c r="P129" s="1035"/>
      <c r="Q129" s="1035"/>
      <c r="R129" s="1035"/>
    </row>
    <row r="130" spans="1:18" s="1058" customFormat="1" x14ac:dyDescent="0.25">
      <c r="A130" s="2321"/>
      <c r="B130" s="2311"/>
      <c r="C130" s="1035"/>
      <c r="D130" s="1035"/>
      <c r="E130" s="1035"/>
      <c r="F130" s="1035"/>
      <c r="G130" s="1035"/>
      <c r="H130" s="1035"/>
      <c r="I130" s="1035"/>
      <c r="J130" s="1035"/>
      <c r="K130" s="1035"/>
      <c r="L130" s="1035"/>
      <c r="M130" s="1035"/>
      <c r="N130" s="1035"/>
      <c r="O130" s="1035"/>
      <c r="P130" s="1035"/>
      <c r="Q130" s="1035"/>
      <c r="R130" s="1035"/>
    </row>
    <row r="131" spans="1:18" s="1058" customFormat="1" x14ac:dyDescent="0.25">
      <c r="A131" s="2321"/>
      <c r="B131" s="2311"/>
      <c r="C131" s="1035"/>
      <c r="D131" s="1035"/>
      <c r="E131" s="1035"/>
      <c r="F131" s="1035"/>
      <c r="G131" s="1035"/>
      <c r="H131" s="1035"/>
      <c r="I131" s="1035"/>
      <c r="J131" s="1035"/>
      <c r="K131" s="1035"/>
      <c r="L131" s="1035"/>
      <c r="M131" s="1035"/>
      <c r="N131" s="1035"/>
      <c r="O131" s="1035"/>
      <c r="P131" s="1035"/>
      <c r="Q131" s="1035"/>
      <c r="R131" s="1035"/>
    </row>
    <row r="132" spans="1:18" x14ac:dyDescent="0.25">
      <c r="A132" s="1510"/>
      <c r="B132" s="2311"/>
      <c r="C132" s="1035"/>
      <c r="D132" s="1035"/>
      <c r="E132" s="1035"/>
      <c r="F132" s="1035"/>
      <c r="G132" s="1035"/>
      <c r="H132" s="1035"/>
      <c r="I132" s="1035"/>
      <c r="J132" s="1035"/>
      <c r="K132" s="238"/>
      <c r="L132" s="238"/>
      <c r="M132" s="238"/>
      <c r="N132" s="238"/>
      <c r="O132" s="238"/>
      <c r="P132" s="238"/>
      <c r="Q132" s="238"/>
      <c r="R132" s="238"/>
    </row>
    <row r="133" spans="1:18" x14ac:dyDescent="0.25">
      <c r="A133" s="2321"/>
      <c r="B133" s="2311"/>
      <c r="C133" s="1035"/>
      <c r="D133" s="1035"/>
      <c r="E133" s="1035"/>
      <c r="F133" s="1035"/>
      <c r="G133" s="1035"/>
      <c r="H133" s="1035"/>
      <c r="I133" s="1035"/>
      <c r="J133" s="1035"/>
      <c r="K133" s="238"/>
      <c r="L133" s="238"/>
      <c r="M133" s="238"/>
      <c r="N133" s="238"/>
      <c r="O133" s="238"/>
      <c r="P133" s="238"/>
      <c r="Q133" s="238"/>
      <c r="R133" s="238"/>
    </row>
    <row r="134" spans="1:18" ht="11.25" customHeight="1" x14ac:dyDescent="0.25">
      <c r="A134" s="1154"/>
      <c r="C134" s="237"/>
      <c r="D134" s="237"/>
      <c r="E134" s="237"/>
      <c r="F134" s="237"/>
      <c r="G134" s="238"/>
      <c r="H134" s="238"/>
      <c r="I134" s="238"/>
      <c r="J134" s="238"/>
    </row>
    <row r="135" spans="1:18" ht="11.25" customHeight="1" x14ac:dyDescent="0.25">
      <c r="A135" s="1154"/>
      <c r="C135" s="237"/>
      <c r="D135" s="237"/>
      <c r="E135" s="237"/>
      <c r="F135" s="237"/>
      <c r="G135" s="238"/>
      <c r="H135" s="238"/>
      <c r="I135" s="238"/>
      <c r="J135" s="238"/>
    </row>
    <row r="136" spans="1:18" ht="11.25" customHeight="1" x14ac:dyDescent="0.25"/>
    <row r="137" spans="1:18" ht="11.25" customHeight="1" x14ac:dyDescent="0.25">
      <c r="B137" s="2307"/>
    </row>
    <row r="138" spans="1:18" ht="11.25" customHeight="1" x14ac:dyDescent="0.25">
      <c r="B138" s="2307"/>
    </row>
    <row r="139" spans="1:18" ht="11.25" customHeight="1" x14ac:dyDescent="0.25">
      <c r="B139" s="2307"/>
    </row>
    <row r="140" spans="1:18" ht="11.25" customHeight="1" x14ac:dyDescent="0.25"/>
    <row r="141" spans="1:18" ht="11.25" customHeight="1" x14ac:dyDescent="0.25"/>
    <row r="142" spans="1:18" ht="11.25" customHeight="1" x14ac:dyDescent="0.25"/>
    <row r="143" spans="1:18" ht="11.25" customHeight="1" x14ac:dyDescent="0.25"/>
    <row r="144" spans="1:18"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sheetData>
  <sheetProtection sheet="1" objects="1" scenarios="1"/>
  <customSheetViews>
    <customSheetView guid="{F50C5479-5CC4-4FD7-8319-543D29E829F0}" showGridLines="0" topLeftCell="A16">
      <selection activeCell="F27" sqref="F27:G31"/>
      <rowBreaks count="1" manualBreakCount="1">
        <brk id="56" max="16383" man="1"/>
      </rowBreaks>
      <pageMargins left="0" right="0" top="0.59055118110236227" bottom="0.24" header="0.51181102362204722" footer="0.23622047244094491"/>
      <printOptions horizontalCentered="1"/>
      <pageSetup paperSize="9" scale="80" orientation="landscape" r:id="rId1"/>
      <headerFooter alignWithMargins="0"/>
    </customSheetView>
  </customSheetViews>
  <mergeCells count="14">
    <mergeCell ref="G95:G96"/>
    <mergeCell ref="G2:G3"/>
    <mergeCell ref="F2:F3"/>
    <mergeCell ref="A95:A96"/>
    <mergeCell ref="A2:A3"/>
    <mergeCell ref="B2:B3"/>
    <mergeCell ref="C2:C3"/>
    <mergeCell ref="D2:D3"/>
    <mergeCell ref="E2:E3"/>
    <mergeCell ref="B95:B96"/>
    <mergeCell ref="C95:C96"/>
    <mergeCell ref="D95:D96"/>
    <mergeCell ref="E95:E96"/>
    <mergeCell ref="F95:F96"/>
  </mergeCells>
  <dataValidations count="6">
    <dataValidation type="list" showInputMessage="1" showErrorMessage="1" promptTitle="Guidance" prompt="Select Uniform or Variable" sqref="K88:R88 K24:R24">
      <formula1>List7</formula1>
    </dataValidation>
    <dataValidation type="list" showInputMessage="1" showErrorMessage="1" promptTitle="Guidance" prompt="Select Yes or No" sqref="K86:R87 K22:R23">
      <formula1>List6</formula1>
    </dataValidation>
    <dataValidation type="list" allowBlank="1" showInputMessage="1" showErrorMessage="1" promptTitle="Select" prompt="Select one" sqref="K84:R84 K20:R20">
      <formula1>List5</formula1>
    </dataValidation>
    <dataValidation type="list" allowBlank="1" showInputMessage="1" showErrorMessage="1" promptTitle="Select" prompt="Select one" sqref="K83:R83 C83 K19:R19 C60">
      <formula1>List4</formula1>
    </dataValidation>
    <dataValidation type="list" allowBlank="1" showInputMessage="1" showErrorMessage="1" promptTitle="Select" prompt="Select one" sqref="K81:R82 C81:C82 K17:R17 C58:C59">
      <formula1>List2</formula1>
    </dataValidation>
    <dataValidation type="list" allowBlank="1" showInputMessage="1" showErrorMessage="1" promptTitle="Select" prompt="Select one" sqref="K18:R18">
      <formula1>List3</formula1>
    </dataValidation>
  </dataValidations>
  <printOptions horizontalCentered="1"/>
  <pageMargins left="0" right="0" top="0.59055118110236227" bottom="0.24" header="0.51181102362204722" footer="0.23622047244094491"/>
  <pageSetup paperSize="9" scale="80" orientation="landscape" r:id="rId2"/>
  <headerFooter alignWithMargins="0"/>
  <rowBreaks count="1" manualBreakCount="1">
    <brk id="5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42"/>
    <pageSetUpPr fitToPage="1"/>
  </sheetPr>
  <dimension ref="A1:AN118"/>
  <sheetViews>
    <sheetView showGridLines="0" zoomScaleNormal="100" workbookViewId="0">
      <pane xSplit="2" ySplit="4" topLeftCell="C28" activePane="bottomRight" state="frozen"/>
      <selection activeCell="F35" sqref="F35"/>
      <selection pane="topRight" activeCell="F35" sqref="F35"/>
      <selection pane="bottomLeft" activeCell="F35" sqref="F35"/>
      <selection pane="bottomRight" activeCell="H31" sqref="H31"/>
    </sheetView>
  </sheetViews>
  <sheetFormatPr defaultRowHeight="12.75" x14ac:dyDescent="0.25"/>
  <cols>
    <col min="1" max="1" width="30.7109375" style="149" customWidth="1"/>
    <col min="2" max="2" width="3" style="247" customWidth="1"/>
    <col min="3" max="12" width="9.28515625" style="149" customWidth="1"/>
    <col min="13" max="16384" width="9.140625" style="149"/>
  </cols>
  <sheetData>
    <row r="1" spans="1:12" ht="13.5" x14ac:dyDescent="0.25">
      <c r="A1" s="147" t="str">
        <f>muni&amp;" - "&amp;TableA14</f>
        <v>MP315 Thembisile Hani - Supporting Table SA14 Household bills</v>
      </c>
      <c r="B1" s="147"/>
      <c r="C1" s="147"/>
      <c r="D1" s="147"/>
      <c r="E1" s="147"/>
      <c r="F1" s="147"/>
      <c r="G1" s="147"/>
      <c r="H1" s="147"/>
      <c r="I1" s="147"/>
      <c r="J1" s="147"/>
      <c r="K1" s="147"/>
      <c r="L1" s="147"/>
    </row>
    <row r="2" spans="1:12" ht="27" customHeight="1" x14ac:dyDescent="0.25">
      <c r="A2" s="2791" t="str">
        <f>desc</f>
        <v>Description</v>
      </c>
      <c r="B2" s="2793" t="str">
        <f>head27</f>
        <v>Ref</v>
      </c>
      <c r="C2" s="150" t="str">
        <f>head1b</f>
        <v>2011/12</v>
      </c>
      <c r="D2" s="150" t="str">
        <f>head1A</f>
        <v>2012/13</v>
      </c>
      <c r="E2" s="146" t="str">
        <f>Head1</f>
        <v>2013/14</v>
      </c>
      <c r="F2" s="2766" t="str">
        <f>Head2</f>
        <v>Current Year 2014/15</v>
      </c>
      <c r="G2" s="2767"/>
      <c r="H2" s="2767"/>
      <c r="I2" s="654" t="str">
        <f>Head3</f>
        <v>2015/16 Medium Term Revenue &amp; Expenditure Framework</v>
      </c>
      <c r="J2" s="655"/>
      <c r="K2" s="656"/>
      <c r="L2" s="657"/>
    </row>
    <row r="3" spans="1:12" ht="25.5" x14ac:dyDescent="0.25">
      <c r="A3" s="2792"/>
      <c r="B3" s="2794"/>
      <c r="C3" s="152" t="str">
        <f>Head5</f>
        <v>Audited Outcome</v>
      </c>
      <c r="D3" s="152" t="str">
        <f>Head5</f>
        <v>Audited Outcome</v>
      </c>
      <c r="E3" s="153" t="str">
        <f>Head5</f>
        <v>Audited Outcome</v>
      </c>
      <c r="F3" s="151" t="str">
        <f>Head6</f>
        <v>Original Budget</v>
      </c>
      <c r="G3" s="152" t="str">
        <f>Head7</f>
        <v>Adjusted Budget</v>
      </c>
      <c r="H3" s="154" t="str">
        <f>Head8</f>
        <v>Full Year Forecast</v>
      </c>
      <c r="I3" s="658" t="str">
        <f>Head9</f>
        <v>Budget Year 2015/16</v>
      </c>
      <c r="J3" s="154" t="str">
        <f>Head9</f>
        <v>Budget Year 2015/16</v>
      </c>
      <c r="K3" s="659" t="str">
        <f>Head10</f>
        <v>Budget Year +1 2016/17</v>
      </c>
      <c r="L3" s="153" t="str">
        <f>Head11</f>
        <v>Budget Year +2 2017/18</v>
      </c>
    </row>
    <row r="4" spans="1:12" x14ac:dyDescent="0.25">
      <c r="A4" s="180" t="s">
        <v>1280</v>
      </c>
      <c r="B4" s="2799"/>
      <c r="C4" s="138"/>
      <c r="D4" s="138"/>
      <c r="E4" s="156"/>
      <c r="F4" s="155"/>
      <c r="G4" s="138"/>
      <c r="H4" s="157"/>
      <c r="I4" s="140" t="s">
        <v>821</v>
      </c>
      <c r="J4" s="157"/>
      <c r="K4" s="138"/>
      <c r="L4" s="156"/>
    </row>
    <row r="5" spans="1:12" ht="25.5" x14ac:dyDescent="0.25">
      <c r="A5" s="526" t="s">
        <v>2179</v>
      </c>
      <c r="B5" s="660">
        <v>1</v>
      </c>
      <c r="C5" s="661"/>
      <c r="D5" s="661"/>
      <c r="E5" s="662"/>
      <c r="F5" s="663"/>
      <c r="G5" s="661"/>
      <c r="H5" s="664"/>
      <c r="I5" s="665"/>
      <c r="J5" s="664"/>
      <c r="K5" s="661"/>
      <c r="L5" s="662"/>
    </row>
    <row r="6" spans="1:12" x14ac:dyDescent="0.25">
      <c r="A6" s="297" t="s">
        <v>792</v>
      </c>
      <c r="B6" s="666"/>
      <c r="C6" s="667"/>
      <c r="D6" s="667"/>
      <c r="E6" s="668"/>
      <c r="F6" s="669"/>
      <c r="G6" s="667"/>
      <c r="H6" s="670"/>
      <c r="I6" s="671"/>
      <c r="J6" s="670"/>
      <c r="K6" s="667"/>
      <c r="L6" s="668"/>
    </row>
    <row r="7" spans="1:12" x14ac:dyDescent="0.25">
      <c r="A7" s="304" t="s">
        <v>539</v>
      </c>
      <c r="B7" s="666"/>
      <c r="C7" s="1904">
        <v>6.0000000000000001E-3</v>
      </c>
      <c r="D7" s="1904">
        <v>4.444E-2</v>
      </c>
      <c r="E7" s="1905"/>
      <c r="F7" s="1906">
        <v>6.8999999999999999E-3</v>
      </c>
      <c r="G7" s="1904">
        <v>6.8999999999999999E-3</v>
      </c>
      <c r="H7" s="1907">
        <v>6.8999999999999999E-3</v>
      </c>
      <c r="I7" s="2727">
        <f>IF(ISERROR(ROUND((J7-F7)/F7,3)),0,(ROUND((J7-F7)/F7,3)))</f>
        <v>5.8000000000000003E-2</v>
      </c>
      <c r="J7" s="1907">
        <v>7.3000000000000001E-3</v>
      </c>
      <c r="K7" s="1904">
        <f>J7*1.059</f>
        <v>7.7307000000000001E-3</v>
      </c>
      <c r="L7" s="1905">
        <f>K7*1.056</f>
        <v>8.1636191999999996E-3</v>
      </c>
    </row>
    <row r="8" spans="1:12" x14ac:dyDescent="0.25">
      <c r="A8" s="304" t="s">
        <v>1548</v>
      </c>
      <c r="B8" s="666"/>
      <c r="C8" s="1904">
        <v>0</v>
      </c>
      <c r="D8" s="1904">
        <v>0</v>
      </c>
      <c r="E8" s="1905"/>
      <c r="F8" s="1906">
        <v>0</v>
      </c>
      <c r="G8" s="1904">
        <v>0</v>
      </c>
      <c r="H8" s="1907">
        <v>0</v>
      </c>
      <c r="I8" s="1908"/>
      <c r="J8" s="1907"/>
      <c r="K8" s="1904">
        <f t="shared" ref="K8:K13" si="0">J8*1.059</f>
        <v>0</v>
      </c>
      <c r="L8" s="1905">
        <f t="shared" ref="L8:L13" si="1">K8*1.056</f>
        <v>0</v>
      </c>
    </row>
    <row r="9" spans="1:12" x14ac:dyDescent="0.25">
      <c r="A9" s="304" t="s">
        <v>1549</v>
      </c>
      <c r="B9" s="666"/>
      <c r="C9" s="1904">
        <v>0</v>
      </c>
      <c r="D9" s="1904">
        <v>0</v>
      </c>
      <c r="E9" s="1905"/>
      <c r="F9" s="1906">
        <v>0</v>
      </c>
      <c r="G9" s="1904">
        <v>0</v>
      </c>
      <c r="H9" s="1907">
        <v>0</v>
      </c>
      <c r="I9" s="1908"/>
      <c r="J9" s="1907"/>
      <c r="K9" s="1904">
        <f t="shared" si="0"/>
        <v>0</v>
      </c>
      <c r="L9" s="1905">
        <f t="shared" si="1"/>
        <v>0</v>
      </c>
    </row>
    <row r="10" spans="1:12" x14ac:dyDescent="0.25">
      <c r="A10" s="304" t="s">
        <v>1550</v>
      </c>
      <c r="B10" s="666"/>
      <c r="C10" s="1904">
        <v>95</v>
      </c>
      <c r="D10" s="1904">
        <v>282.29000000000002</v>
      </c>
      <c r="E10" s="1905"/>
      <c r="F10" s="1906">
        <v>126.74</v>
      </c>
      <c r="G10" s="1904">
        <v>126.74</v>
      </c>
      <c r="H10" s="1907">
        <v>126.74</v>
      </c>
      <c r="I10" s="2727">
        <f t="shared" ref="I10:I13" si="2">IF(ISERROR(ROUND((J10-F10)/F10,3)),0,(ROUND((J10-F10)/F10,3)))</f>
        <v>-0.33500000000000002</v>
      </c>
      <c r="J10" s="1907">
        <v>84.33</v>
      </c>
      <c r="K10" s="1904">
        <f t="shared" si="0"/>
        <v>89.30547</v>
      </c>
      <c r="L10" s="1905">
        <f t="shared" si="1"/>
        <v>94.306576320000005</v>
      </c>
    </row>
    <row r="11" spans="1:12" x14ac:dyDescent="0.25">
      <c r="A11" s="304" t="s">
        <v>818</v>
      </c>
      <c r="B11" s="666"/>
      <c r="C11" s="1904">
        <v>5</v>
      </c>
      <c r="D11" s="1904">
        <v>8.02</v>
      </c>
      <c r="E11" s="1905"/>
      <c r="F11" s="1906">
        <v>9.01</v>
      </c>
      <c r="G11" s="1904">
        <v>9.01</v>
      </c>
      <c r="H11" s="1907">
        <v>9.01</v>
      </c>
      <c r="I11" s="2727">
        <f t="shared" si="2"/>
        <v>0.19</v>
      </c>
      <c r="J11" s="1907">
        <v>10.72</v>
      </c>
      <c r="K11" s="1904">
        <f t="shared" si="0"/>
        <v>11.35248</v>
      </c>
      <c r="L11" s="1905">
        <f t="shared" si="1"/>
        <v>11.98821888</v>
      </c>
    </row>
    <row r="12" spans="1:12" x14ac:dyDescent="0.25">
      <c r="A12" s="304" t="s">
        <v>949</v>
      </c>
      <c r="B12" s="666"/>
      <c r="C12" s="1904">
        <v>35</v>
      </c>
      <c r="D12" s="1904">
        <v>52.69</v>
      </c>
      <c r="E12" s="1905"/>
      <c r="F12" s="1906">
        <v>59.26</v>
      </c>
      <c r="G12" s="1904">
        <v>59.26</v>
      </c>
      <c r="H12" s="1907">
        <v>59.26</v>
      </c>
      <c r="I12" s="2727">
        <f t="shared" si="2"/>
        <v>5.8000000000000003E-2</v>
      </c>
      <c r="J12" s="1907">
        <v>62.7</v>
      </c>
      <c r="K12" s="1904">
        <f t="shared" si="0"/>
        <v>66.399299999999997</v>
      </c>
      <c r="L12" s="1905">
        <f t="shared" si="1"/>
        <v>70.117660799999996</v>
      </c>
    </row>
    <row r="13" spans="1:12" x14ac:dyDescent="0.25">
      <c r="A13" s="304" t="s">
        <v>663</v>
      </c>
      <c r="B13" s="666"/>
      <c r="C13" s="1904">
        <v>45</v>
      </c>
      <c r="D13" s="1904">
        <v>30.31</v>
      </c>
      <c r="E13" s="1905"/>
      <c r="F13" s="1906">
        <v>37.28</v>
      </c>
      <c r="G13" s="1904">
        <v>37.28</v>
      </c>
      <c r="H13" s="1907">
        <v>37.28</v>
      </c>
      <c r="I13" s="2727">
        <f t="shared" si="2"/>
        <v>5.8000000000000003E-2</v>
      </c>
      <c r="J13" s="1907">
        <v>39.436949999999996</v>
      </c>
      <c r="K13" s="1904">
        <f t="shared" si="0"/>
        <v>41.763730049999992</v>
      </c>
      <c r="L13" s="1905">
        <f t="shared" si="1"/>
        <v>44.102498932799996</v>
      </c>
    </row>
    <row r="14" spans="1:12" x14ac:dyDescent="0.25">
      <c r="A14" s="304" t="s">
        <v>292</v>
      </c>
      <c r="B14" s="666"/>
      <c r="C14" s="1904"/>
      <c r="D14" s="1904"/>
      <c r="E14" s="1905"/>
      <c r="F14" s="1906"/>
      <c r="G14" s="1904"/>
      <c r="H14" s="1907"/>
      <c r="I14" s="1908"/>
      <c r="J14" s="1907"/>
      <c r="K14" s="1904"/>
      <c r="L14" s="1905"/>
    </row>
    <row r="15" spans="1:12" x14ac:dyDescent="0.25">
      <c r="A15" s="672" t="s">
        <v>139</v>
      </c>
      <c r="B15" s="666"/>
      <c r="C15" s="673">
        <f>SUM(C7:C14)</f>
        <v>180.006</v>
      </c>
      <c r="D15" s="673">
        <f>SUM(D7:D14)</f>
        <v>373.35444000000001</v>
      </c>
      <c r="E15" s="674">
        <f>SUM(E7:E14)</f>
        <v>0</v>
      </c>
      <c r="F15" s="675">
        <f>SUM(F7:F14)</f>
        <v>232.29689999999999</v>
      </c>
      <c r="G15" s="673">
        <f t="shared" ref="G15:L15" si="3">SUM(G7:G14)</f>
        <v>232.29689999999999</v>
      </c>
      <c r="H15" s="676">
        <f t="shared" si="3"/>
        <v>232.29689999999999</v>
      </c>
      <c r="I15" s="677">
        <f>IF(ISERROR(ROUND((J15-F15)/F15,3)),0,(ROUND((J15-F15)/F15,3)))</f>
        <v>-0.151</v>
      </c>
      <c r="J15" s="676">
        <f t="shared" si="3"/>
        <v>197.19424999999998</v>
      </c>
      <c r="K15" s="673">
        <f t="shared" si="3"/>
        <v>208.82871074999997</v>
      </c>
      <c r="L15" s="674">
        <f t="shared" si="3"/>
        <v>220.523118552</v>
      </c>
    </row>
    <row r="16" spans="1:12" x14ac:dyDescent="0.25">
      <c r="A16" s="304" t="s">
        <v>791</v>
      </c>
      <c r="B16" s="666"/>
      <c r="C16" s="1904"/>
      <c r="D16" s="1904"/>
      <c r="E16" s="1905"/>
      <c r="F16" s="1906"/>
      <c r="G16" s="1904"/>
      <c r="H16" s="1907"/>
      <c r="I16" s="1908"/>
      <c r="J16" s="1907"/>
      <c r="K16" s="1904"/>
      <c r="L16" s="1905"/>
    </row>
    <row r="17" spans="1:12" x14ac:dyDescent="0.25">
      <c r="A17" s="297" t="s">
        <v>819</v>
      </c>
      <c r="B17" s="666"/>
      <c r="C17" s="673">
        <f>SUM(C15:C16)</f>
        <v>180.006</v>
      </c>
      <c r="D17" s="673">
        <f>SUM(D15:D16)</f>
        <v>373.35444000000001</v>
      </c>
      <c r="E17" s="674">
        <f>SUM(E15:E16)</f>
        <v>0</v>
      </c>
      <c r="F17" s="675">
        <f>SUM(F15:F16)</f>
        <v>232.29689999999999</v>
      </c>
      <c r="G17" s="673">
        <f t="shared" ref="G17:L17" si="4">SUM(G15:G16)</f>
        <v>232.29689999999999</v>
      </c>
      <c r="H17" s="676">
        <f t="shared" si="4"/>
        <v>232.29689999999999</v>
      </c>
      <c r="I17" s="677">
        <f>IF(ISERROR(ROUND((J17-F17)/F17,3)),0,(ROUND((J17-F17)/F17,3)))</f>
        <v>-0.151</v>
      </c>
      <c r="J17" s="676">
        <f t="shared" si="4"/>
        <v>197.19424999999998</v>
      </c>
      <c r="K17" s="673">
        <f t="shared" si="4"/>
        <v>208.82871074999997</v>
      </c>
      <c r="L17" s="674">
        <f t="shared" si="4"/>
        <v>220.523118552</v>
      </c>
    </row>
    <row r="18" spans="1:12" x14ac:dyDescent="0.25">
      <c r="A18" s="678" t="s">
        <v>134</v>
      </c>
      <c r="B18" s="666"/>
      <c r="C18" s="679"/>
      <c r="D18" s="680">
        <f>IF(ISERROR((D17/C17)-1),0,((D17/C17)-1))</f>
        <v>1.0741221959268024</v>
      </c>
      <c r="E18" s="681">
        <f>IF(ISERROR((E17/D17)-1),0,((E17/D17)-1))</f>
        <v>-1</v>
      </c>
      <c r="F18" s="682">
        <f>IF(ISERROR((F17/E17)-1),0,((F17/E17)-1))</f>
        <v>0</v>
      </c>
      <c r="G18" s="680">
        <f>IF(ISERROR((G17/F17)-1),0,((G17/F17)-1))</f>
        <v>0</v>
      </c>
      <c r="H18" s="683">
        <f>IF(ISERROR((H17/G17)-1),0,((H17/G17)-1))</f>
        <v>0</v>
      </c>
      <c r="I18" s="684"/>
      <c r="J18" s="683">
        <f>IF(ISERROR((J17/H17)-1),0,((J17/H17)-1))</f>
        <v>-0.15111114267990666</v>
      </c>
      <c r="K18" s="680">
        <f>IF(ISERROR((K17/J17)-1),0,((K17/J17)-1))</f>
        <v>5.8999999999999941E-2</v>
      </c>
      <c r="L18" s="681">
        <f>IF(ISERROR((L17/K17)-1),0,((L17/K17)-1))</f>
        <v>5.600000000000005E-2</v>
      </c>
    </row>
    <row r="19" spans="1:12" ht="5.0999999999999996" customHeight="1" x14ac:dyDescent="0.25">
      <c r="A19" s="526"/>
      <c r="B19" s="666"/>
      <c r="C19" s="685"/>
      <c r="D19" s="685"/>
      <c r="E19" s="686"/>
      <c r="F19" s="687"/>
      <c r="G19" s="685"/>
      <c r="H19" s="688"/>
      <c r="I19" s="671"/>
      <c r="J19" s="688"/>
      <c r="K19" s="685"/>
      <c r="L19" s="686"/>
    </row>
    <row r="20" spans="1:12" ht="25.5" customHeight="1" x14ac:dyDescent="0.25">
      <c r="A20" s="689" t="s">
        <v>2180</v>
      </c>
      <c r="B20" s="690">
        <v>2</v>
      </c>
      <c r="C20" s="691"/>
      <c r="D20" s="691"/>
      <c r="E20" s="692"/>
      <c r="F20" s="693"/>
      <c r="G20" s="691"/>
      <c r="H20" s="694"/>
      <c r="I20" s="695"/>
      <c r="J20" s="694"/>
      <c r="K20" s="691"/>
      <c r="L20" s="692"/>
    </row>
    <row r="21" spans="1:12" ht="11.25" customHeight="1" x14ac:dyDescent="0.25">
      <c r="A21" s="297" t="str">
        <f>A6</f>
        <v>Rates and services charges:</v>
      </c>
      <c r="B21" s="666"/>
      <c r="C21" s="667"/>
      <c r="D21" s="667"/>
      <c r="E21" s="668"/>
      <c r="F21" s="669"/>
      <c r="G21" s="667"/>
      <c r="H21" s="670"/>
      <c r="I21" s="671"/>
      <c r="J21" s="670"/>
      <c r="K21" s="667"/>
      <c r="L21" s="668"/>
    </row>
    <row r="22" spans="1:12" ht="11.25" customHeight="1" x14ac:dyDescent="0.25">
      <c r="A22" s="304" t="str">
        <f t="shared" ref="A22:A31" si="5">A7</f>
        <v>Property rates</v>
      </c>
      <c r="B22" s="666"/>
      <c r="C22" s="1904">
        <v>6.0000000000000001E-3</v>
      </c>
      <c r="D22" s="1904">
        <v>4.444E-2</v>
      </c>
      <c r="E22" s="1905"/>
      <c r="F22" s="1906">
        <v>6.8999999999999999E-3</v>
      </c>
      <c r="G22" s="1904">
        <v>6.8999999999999999E-3</v>
      </c>
      <c r="H22" s="1907">
        <v>6.8999999999999999E-3</v>
      </c>
      <c r="I22" s="1908">
        <v>5.8000000000000003E-2</v>
      </c>
      <c r="J22" s="1907">
        <v>7.3000000000000001E-3</v>
      </c>
      <c r="K22" s="1904">
        <v>7.7307000000000001E-3</v>
      </c>
      <c r="L22" s="1905">
        <v>8.1636191999999996E-3</v>
      </c>
    </row>
    <row r="23" spans="1:12" ht="11.25" customHeight="1" x14ac:dyDescent="0.25">
      <c r="A23" s="304" t="str">
        <f t="shared" si="5"/>
        <v>Electricity: Basic levy</v>
      </c>
      <c r="B23" s="666"/>
      <c r="C23" s="1904">
        <v>0</v>
      </c>
      <c r="D23" s="1904">
        <v>0</v>
      </c>
      <c r="E23" s="1905"/>
      <c r="F23" s="1906">
        <v>0</v>
      </c>
      <c r="G23" s="1904">
        <v>0</v>
      </c>
      <c r="H23" s="1907">
        <v>0</v>
      </c>
      <c r="I23" s="1908"/>
      <c r="J23" s="1907"/>
      <c r="K23" s="1904">
        <v>0</v>
      </c>
      <c r="L23" s="1905">
        <v>0</v>
      </c>
    </row>
    <row r="24" spans="1:12" ht="11.25" customHeight="1" x14ac:dyDescent="0.25">
      <c r="A24" s="304" t="str">
        <f t="shared" si="5"/>
        <v>Electricity: Consumption</v>
      </c>
      <c r="B24" s="666"/>
      <c r="C24" s="1904">
        <v>0</v>
      </c>
      <c r="D24" s="1904">
        <v>0</v>
      </c>
      <c r="E24" s="1905"/>
      <c r="F24" s="1906">
        <v>0</v>
      </c>
      <c r="G24" s="1904">
        <v>0</v>
      </c>
      <c r="H24" s="1907">
        <v>0</v>
      </c>
      <c r="I24" s="1908"/>
      <c r="J24" s="1907"/>
      <c r="K24" s="1904">
        <v>0</v>
      </c>
      <c r="L24" s="1905">
        <v>0</v>
      </c>
    </row>
    <row r="25" spans="1:12" ht="11.25" customHeight="1" x14ac:dyDescent="0.25">
      <c r="A25" s="304" t="str">
        <f t="shared" si="5"/>
        <v>Water: Basic levy</v>
      </c>
      <c r="B25" s="666"/>
      <c r="C25" s="1904">
        <v>95</v>
      </c>
      <c r="D25" s="1904">
        <v>282.29000000000002</v>
      </c>
      <c r="E25" s="1905"/>
      <c r="F25" s="1906">
        <v>126.74</v>
      </c>
      <c r="G25" s="1904">
        <v>126.74</v>
      </c>
      <c r="H25" s="1907">
        <v>126.74</v>
      </c>
      <c r="I25" s="1908">
        <v>5.7000000000000002E-2</v>
      </c>
      <c r="J25" s="1907">
        <v>84.33</v>
      </c>
      <c r="K25" s="1904">
        <v>141.90600000000001</v>
      </c>
      <c r="L25" s="1905">
        <v>149.85273600000002</v>
      </c>
    </row>
    <row r="26" spans="1:12" ht="11.25" customHeight="1" x14ac:dyDescent="0.25">
      <c r="A26" s="304" t="str">
        <f t="shared" si="5"/>
        <v>Water: Consumption</v>
      </c>
      <c r="B26" s="666"/>
      <c r="C26" s="1904">
        <v>5</v>
      </c>
      <c r="D26" s="1904">
        <v>8.02</v>
      </c>
      <c r="E26" s="1905"/>
      <c r="F26" s="1906">
        <v>9.01</v>
      </c>
      <c r="G26" s="1904">
        <v>9.01</v>
      </c>
      <c r="H26" s="1907">
        <v>9.01</v>
      </c>
      <c r="I26" s="1908">
        <v>0.19</v>
      </c>
      <c r="J26" s="1907">
        <v>10.72</v>
      </c>
      <c r="K26" s="1904">
        <v>11.35248</v>
      </c>
      <c r="L26" s="1905">
        <v>11.98821888</v>
      </c>
    </row>
    <row r="27" spans="1:12" ht="11.25" customHeight="1" x14ac:dyDescent="0.25">
      <c r="A27" s="304" t="str">
        <f t="shared" si="5"/>
        <v>Sanitation</v>
      </c>
      <c r="B27" s="666"/>
      <c r="C27" s="1904">
        <v>35</v>
      </c>
      <c r="D27" s="1904">
        <v>52.69</v>
      </c>
      <c r="E27" s="1905"/>
      <c r="F27" s="1906">
        <v>59.26</v>
      </c>
      <c r="G27" s="1904">
        <v>59.26</v>
      </c>
      <c r="H27" s="1907">
        <v>59.26</v>
      </c>
      <c r="I27" s="1908">
        <v>5.8000000000000003E-2</v>
      </c>
      <c r="J27" s="1907">
        <v>62.7</v>
      </c>
      <c r="K27" s="1904">
        <v>66.399299999999997</v>
      </c>
      <c r="L27" s="1905">
        <v>70.117660799999996</v>
      </c>
    </row>
    <row r="28" spans="1:12" ht="11.25" customHeight="1" x14ac:dyDescent="0.25">
      <c r="A28" s="304" t="str">
        <f t="shared" si="5"/>
        <v>Refuse removal</v>
      </c>
      <c r="B28" s="666"/>
      <c r="C28" s="1904">
        <v>45</v>
      </c>
      <c r="D28" s="1904">
        <v>30.31</v>
      </c>
      <c r="E28" s="1905"/>
      <c r="F28" s="1906">
        <v>37.28</v>
      </c>
      <c r="G28" s="1904">
        <v>37.28</v>
      </c>
      <c r="H28" s="1907">
        <v>37.28</v>
      </c>
      <c r="I28" s="1908">
        <v>5.8000000000000003E-2</v>
      </c>
      <c r="J28" s="1907">
        <v>39.436949999999996</v>
      </c>
      <c r="K28" s="1904">
        <v>41.763730049999992</v>
      </c>
      <c r="L28" s="1905">
        <v>44.102498932799996</v>
      </c>
    </row>
    <row r="29" spans="1:12" ht="11.25" customHeight="1" x14ac:dyDescent="0.25">
      <c r="A29" s="304" t="str">
        <f t="shared" si="5"/>
        <v>Other</v>
      </c>
      <c r="B29" s="666"/>
      <c r="C29" s="1904"/>
      <c r="D29" s="1904"/>
      <c r="E29" s="1905"/>
      <c r="F29" s="1906"/>
      <c r="G29" s="1904"/>
      <c r="H29" s="1907"/>
      <c r="I29" s="1908"/>
      <c r="J29" s="1907"/>
      <c r="K29" s="1904"/>
      <c r="L29" s="1905"/>
    </row>
    <row r="30" spans="1:12" ht="11.25" customHeight="1" x14ac:dyDescent="0.25">
      <c r="A30" s="672" t="str">
        <f t="shared" si="5"/>
        <v>sub-total</v>
      </c>
      <c r="B30" s="696"/>
      <c r="C30" s="673">
        <f t="shared" ref="C30:H30" si="6">SUM(C22:C29)</f>
        <v>180.006</v>
      </c>
      <c r="D30" s="673">
        <f t="shared" si="6"/>
        <v>373.35444000000001</v>
      </c>
      <c r="E30" s="674">
        <f t="shared" si="6"/>
        <v>0</v>
      </c>
      <c r="F30" s="675">
        <f t="shared" si="6"/>
        <v>232.29689999999999</v>
      </c>
      <c r="G30" s="673">
        <f t="shared" si="6"/>
        <v>232.29689999999999</v>
      </c>
      <c r="H30" s="676">
        <f t="shared" si="6"/>
        <v>232.29689999999999</v>
      </c>
      <c r="I30" s="677">
        <f>IF(ISERROR(ROUND((J30-F30)/F30,3)),0,(ROUND((J30-F30)/F30,3)))</f>
        <v>-0.151</v>
      </c>
      <c r="J30" s="676">
        <f>SUM(J22:J29)</f>
        <v>197.19424999999998</v>
      </c>
      <c r="K30" s="673">
        <f>SUM(K22:K29)</f>
        <v>261.42924074999996</v>
      </c>
      <c r="L30" s="674">
        <f>SUM(L22:L29)</f>
        <v>276.06927823200004</v>
      </c>
    </row>
    <row r="31" spans="1:12" ht="11.25" customHeight="1" x14ac:dyDescent="0.25">
      <c r="A31" s="304" t="str">
        <f t="shared" si="5"/>
        <v>VAT on Services</v>
      </c>
      <c r="B31" s="666"/>
      <c r="C31" s="1904"/>
      <c r="D31" s="1904"/>
      <c r="E31" s="1905"/>
      <c r="F31" s="1906"/>
      <c r="G31" s="1904"/>
      <c r="H31" s="1907"/>
      <c r="I31" s="1908"/>
      <c r="J31" s="1907"/>
      <c r="K31" s="1904"/>
      <c r="L31" s="1905"/>
    </row>
    <row r="32" spans="1:12" ht="11.25" customHeight="1" x14ac:dyDescent="0.25">
      <c r="A32" s="297" t="s">
        <v>820</v>
      </c>
      <c r="B32" s="666"/>
      <c r="C32" s="673">
        <f t="shared" ref="C32:H32" si="7">SUM(C30:C31)</f>
        <v>180.006</v>
      </c>
      <c r="D32" s="673">
        <f t="shared" si="7"/>
        <v>373.35444000000001</v>
      </c>
      <c r="E32" s="674">
        <f t="shared" si="7"/>
        <v>0</v>
      </c>
      <c r="F32" s="675">
        <f t="shared" si="7"/>
        <v>232.29689999999999</v>
      </c>
      <c r="G32" s="673">
        <f t="shared" si="7"/>
        <v>232.29689999999999</v>
      </c>
      <c r="H32" s="676">
        <f t="shared" si="7"/>
        <v>232.29689999999999</v>
      </c>
      <c r="I32" s="677">
        <f>IF(ISERROR(ROUND((J32-F32)/F32,3)),0,(ROUND((J32-F32)/F32,3)))</f>
        <v>-0.151</v>
      </c>
      <c r="J32" s="676">
        <f>SUM(J30:J31)</f>
        <v>197.19424999999998</v>
      </c>
      <c r="K32" s="673">
        <f>SUM(K30:K31)</f>
        <v>261.42924074999996</v>
      </c>
      <c r="L32" s="674">
        <f>SUM(L30:L31)</f>
        <v>276.06927823200004</v>
      </c>
    </row>
    <row r="33" spans="1:15" ht="11.25" customHeight="1" x14ac:dyDescent="0.25">
      <c r="A33" s="678" t="s">
        <v>134</v>
      </c>
      <c r="B33" s="666"/>
      <c r="C33" s="679"/>
      <c r="D33" s="680">
        <f>IF(ISERROR((D32/C32)-1),0,((D32/C32)-1))</f>
        <v>1.0741221959268024</v>
      </c>
      <c r="E33" s="681">
        <f>IF(ISERROR((E32/D32)-1),0,((E32/D32)-1))</f>
        <v>-1</v>
      </c>
      <c r="F33" s="682">
        <f>IF(ISERROR((F32/E32)-1),0,((F32/E32)-1))</f>
        <v>0</v>
      </c>
      <c r="G33" s="680">
        <f>IF(ISERROR((G32/F32)-1),0,((G32/F32)-1))</f>
        <v>0</v>
      </c>
      <c r="H33" s="683">
        <f>IF(ISERROR((H32/G32)-1),0,((H32/G32)-1))</f>
        <v>0</v>
      </c>
      <c r="I33" s="684"/>
      <c r="J33" s="683">
        <f>IF(ISERROR((J32/H32)-1),0,((J32/H32)-1))</f>
        <v>-0.15111114267990666</v>
      </c>
      <c r="K33" s="680">
        <f>IF(ISERROR((K32/J32)-1),0,((K32/J32)-1))</f>
        <v>0.32574474534627651</v>
      </c>
      <c r="L33" s="681">
        <f>IF(ISERROR((L32/K32)-1),0,((L32/K32)-1))</f>
        <v>5.6000000000000272E-2</v>
      </c>
    </row>
    <row r="34" spans="1:15" ht="4.5" customHeight="1" x14ac:dyDescent="0.25">
      <c r="A34" s="526"/>
      <c r="B34" s="666"/>
      <c r="C34" s="685"/>
      <c r="D34" s="685"/>
      <c r="E34" s="686">
        <f>IF(ISERROR((E33/D33)-1),0,((E33/D33)-1))</f>
        <v>-1.9309927713924147</v>
      </c>
      <c r="F34" s="687">
        <f>IF(ISERROR((F33/E33)-1),0,((F33/E33)-1))</f>
        <v>-1</v>
      </c>
      <c r="G34" s="685">
        <f>IF(ISERROR((G33/F33)-1),0,((G33/F33)-1))</f>
        <v>0</v>
      </c>
      <c r="H34" s="688">
        <f>IF(ISERROR((H33/G33)-1),0,((H33/G33)-1))</f>
        <v>0</v>
      </c>
      <c r="I34" s="671"/>
      <c r="J34" s="688"/>
      <c r="K34" s="685"/>
      <c r="L34" s="686"/>
    </row>
    <row r="35" spans="1:15" ht="25.5" customHeight="1" x14ac:dyDescent="0.25">
      <c r="A35" s="689" t="s">
        <v>2178</v>
      </c>
      <c r="B35" s="690">
        <v>3</v>
      </c>
      <c r="C35" s="691"/>
      <c r="D35" s="691"/>
      <c r="E35" s="692"/>
      <c r="F35" s="693"/>
      <c r="G35" s="691"/>
      <c r="H35" s="694"/>
      <c r="I35" s="695"/>
      <c r="J35" s="694"/>
      <c r="K35" s="691"/>
      <c r="L35" s="692"/>
    </row>
    <row r="36" spans="1:15" x14ac:dyDescent="0.25">
      <c r="A36" s="297" t="str">
        <f>A6</f>
        <v>Rates and services charges:</v>
      </c>
      <c r="B36" s="666"/>
      <c r="C36" s="667"/>
      <c r="D36" s="667"/>
      <c r="E36" s="668"/>
      <c r="F36" s="669"/>
      <c r="G36" s="667"/>
      <c r="H36" s="670"/>
      <c r="I36" s="671"/>
      <c r="J36" s="670"/>
      <c r="K36" s="667"/>
      <c r="L36" s="668"/>
    </row>
    <row r="37" spans="1:15" x14ac:dyDescent="0.25">
      <c r="A37" s="304" t="str">
        <f t="shared" ref="A37:A46" si="8">A7</f>
        <v>Property rates</v>
      </c>
      <c r="B37" s="666"/>
      <c r="C37" s="1904"/>
      <c r="D37" s="1904"/>
      <c r="E37" s="1905"/>
      <c r="F37" s="1906"/>
      <c r="G37" s="1904"/>
      <c r="H37" s="1907"/>
      <c r="I37" s="1908" t="str">
        <f>IF(J37&gt;0,I13ROUND((J37-F37)/F37,3),"")</f>
        <v/>
      </c>
      <c r="J37" s="1907"/>
      <c r="K37" s="1904"/>
      <c r="L37" s="1905"/>
      <c r="O37" s="369"/>
    </row>
    <row r="38" spans="1:15" x14ac:dyDescent="0.25">
      <c r="A38" s="304" t="str">
        <f t="shared" si="8"/>
        <v>Electricity: Basic levy</v>
      </c>
      <c r="B38" s="666"/>
      <c r="C38" s="1904"/>
      <c r="D38" s="1904"/>
      <c r="E38" s="1905"/>
      <c r="F38" s="1906"/>
      <c r="G38" s="1904"/>
      <c r="H38" s="1907"/>
      <c r="I38" s="1908" t="str">
        <f t="shared" ref="I38:I46" si="9">IF(J38&gt;0,I13ROUND((J38-F38)/F38,3),"")</f>
        <v/>
      </c>
      <c r="J38" s="1907"/>
      <c r="K38" s="1904"/>
      <c r="L38" s="1905"/>
    </row>
    <row r="39" spans="1:15" x14ac:dyDescent="0.25">
      <c r="A39" s="304" t="str">
        <f t="shared" si="8"/>
        <v>Electricity: Consumption</v>
      </c>
      <c r="B39" s="666"/>
      <c r="C39" s="1904"/>
      <c r="D39" s="1904"/>
      <c r="E39" s="1905"/>
      <c r="F39" s="1906"/>
      <c r="G39" s="1904"/>
      <c r="H39" s="1907"/>
      <c r="I39" s="1908" t="str">
        <f t="shared" si="9"/>
        <v/>
      </c>
      <c r="J39" s="1907"/>
      <c r="K39" s="1904"/>
      <c r="L39" s="1905"/>
    </row>
    <row r="40" spans="1:15" x14ac:dyDescent="0.25">
      <c r="A40" s="304" t="str">
        <f t="shared" si="8"/>
        <v>Water: Basic levy</v>
      </c>
      <c r="B40" s="666"/>
      <c r="C40" s="1904"/>
      <c r="D40" s="1904"/>
      <c r="E40" s="1905"/>
      <c r="F40" s="1906"/>
      <c r="G40" s="1904"/>
      <c r="H40" s="1907"/>
      <c r="I40" s="1908" t="str">
        <f t="shared" si="9"/>
        <v/>
      </c>
      <c r="J40" s="1907"/>
      <c r="K40" s="1904"/>
      <c r="L40" s="1905"/>
    </row>
    <row r="41" spans="1:15" x14ac:dyDescent="0.25">
      <c r="A41" s="304" t="str">
        <f t="shared" si="8"/>
        <v>Water: Consumption</v>
      </c>
      <c r="B41" s="666"/>
      <c r="C41" s="1904"/>
      <c r="D41" s="1904"/>
      <c r="E41" s="1905"/>
      <c r="F41" s="1906"/>
      <c r="G41" s="1904"/>
      <c r="H41" s="1907"/>
      <c r="I41" s="1908" t="str">
        <f t="shared" si="9"/>
        <v/>
      </c>
      <c r="J41" s="1907"/>
      <c r="K41" s="1904"/>
      <c r="L41" s="1905"/>
    </row>
    <row r="42" spans="1:15" x14ac:dyDescent="0.25">
      <c r="A42" s="304" t="str">
        <f t="shared" si="8"/>
        <v>Sanitation</v>
      </c>
      <c r="B42" s="666"/>
      <c r="C42" s="1904"/>
      <c r="D42" s="1904"/>
      <c r="E42" s="1905"/>
      <c r="F42" s="1906"/>
      <c r="G42" s="1904"/>
      <c r="H42" s="1907"/>
      <c r="I42" s="1908" t="str">
        <f t="shared" si="9"/>
        <v/>
      </c>
      <c r="J42" s="1907"/>
      <c r="K42" s="1904"/>
      <c r="L42" s="1905"/>
    </row>
    <row r="43" spans="1:15" x14ac:dyDescent="0.25">
      <c r="A43" s="304" t="str">
        <f t="shared" si="8"/>
        <v>Refuse removal</v>
      </c>
      <c r="B43" s="666"/>
      <c r="C43" s="1904"/>
      <c r="D43" s="1904"/>
      <c r="E43" s="1905"/>
      <c r="F43" s="1906"/>
      <c r="G43" s="1904"/>
      <c r="H43" s="1907"/>
      <c r="I43" s="1908" t="str">
        <f t="shared" si="9"/>
        <v/>
      </c>
      <c r="J43" s="1907"/>
      <c r="K43" s="1904"/>
      <c r="L43" s="1905"/>
    </row>
    <row r="44" spans="1:15" x14ac:dyDescent="0.25">
      <c r="A44" s="304" t="str">
        <f t="shared" si="8"/>
        <v>Other</v>
      </c>
      <c r="B44" s="666"/>
      <c r="C44" s="1904"/>
      <c r="D44" s="1904"/>
      <c r="E44" s="1905"/>
      <c r="F44" s="1906"/>
      <c r="G44" s="1904"/>
      <c r="H44" s="1907"/>
      <c r="I44" s="1908" t="str">
        <f t="shared" si="9"/>
        <v/>
      </c>
      <c r="J44" s="1907"/>
      <c r="K44" s="1904"/>
      <c r="L44" s="1905"/>
    </row>
    <row r="45" spans="1:15" x14ac:dyDescent="0.25">
      <c r="A45" s="672" t="str">
        <f t="shared" si="8"/>
        <v>sub-total</v>
      </c>
      <c r="B45" s="696"/>
      <c r="C45" s="673">
        <f>SUM(C37:C44)</f>
        <v>0</v>
      </c>
      <c r="D45" s="673">
        <f>SUM(D37:D44)</f>
        <v>0</v>
      </c>
      <c r="E45" s="674">
        <f>SUM(E37:E44)</f>
        <v>0</v>
      </c>
      <c r="F45" s="675">
        <f>SUM(F37:F44)</f>
        <v>0</v>
      </c>
      <c r="G45" s="673">
        <f t="shared" ref="G45:L45" si="10">SUM(G37:G44)</f>
        <v>0</v>
      </c>
      <c r="H45" s="676">
        <f t="shared" si="10"/>
        <v>0</v>
      </c>
      <c r="I45" s="677">
        <f>IF(ISERROR(ROUND((J45-F45)/F45,3)),0,(ROUND((J45-F45)/F45,3)))</f>
        <v>0</v>
      </c>
      <c r="J45" s="676">
        <f t="shared" si="10"/>
        <v>0</v>
      </c>
      <c r="K45" s="673">
        <f t="shared" si="10"/>
        <v>0</v>
      </c>
      <c r="L45" s="674">
        <f t="shared" si="10"/>
        <v>0</v>
      </c>
    </row>
    <row r="46" spans="1:15" x14ac:dyDescent="0.25">
      <c r="A46" s="304" t="str">
        <f t="shared" si="8"/>
        <v>VAT on Services</v>
      </c>
      <c r="B46" s="666"/>
      <c r="C46" s="1904"/>
      <c r="D46" s="1904"/>
      <c r="E46" s="1905"/>
      <c r="F46" s="1906"/>
      <c r="G46" s="1904"/>
      <c r="H46" s="1907"/>
      <c r="I46" s="1908" t="str">
        <f t="shared" si="9"/>
        <v/>
      </c>
      <c r="J46" s="1907"/>
      <c r="K46" s="1904"/>
      <c r="L46" s="1905"/>
    </row>
    <row r="47" spans="1:15" x14ac:dyDescent="0.25">
      <c r="A47" s="297" t="s">
        <v>820</v>
      </c>
      <c r="B47" s="666"/>
      <c r="C47" s="673">
        <f>SUM(C45:C46)</f>
        <v>0</v>
      </c>
      <c r="D47" s="673">
        <f>SUM(D45:D46)</f>
        <v>0</v>
      </c>
      <c r="E47" s="674">
        <f>SUM(E45:E46)</f>
        <v>0</v>
      </c>
      <c r="F47" s="675">
        <f>SUM(F45:F46)</f>
        <v>0</v>
      </c>
      <c r="G47" s="673">
        <f t="shared" ref="G47:L47" si="11">SUM(G45:G46)</f>
        <v>0</v>
      </c>
      <c r="H47" s="676">
        <f t="shared" si="11"/>
        <v>0</v>
      </c>
      <c r="I47" s="677">
        <f>IF(ISERROR(ROUND((J47-F47)/F47,3)),0,(ROUND((J47-F47)/F47,3)))</f>
        <v>0</v>
      </c>
      <c r="J47" s="676">
        <f t="shared" si="11"/>
        <v>0</v>
      </c>
      <c r="K47" s="673">
        <f t="shared" si="11"/>
        <v>0</v>
      </c>
      <c r="L47" s="674">
        <f t="shared" si="11"/>
        <v>0</v>
      </c>
    </row>
    <row r="48" spans="1:15" x14ac:dyDescent="0.25">
      <c r="A48" s="678" t="str">
        <f>A18</f>
        <v>% increase/-decrease</v>
      </c>
      <c r="B48" s="666"/>
      <c r="C48" s="679"/>
      <c r="D48" s="680">
        <f>IF(ISERROR((D47/C47)-1),0,((D47/C47)-1))</f>
        <v>0</v>
      </c>
      <c r="E48" s="681">
        <f>IF(ISERROR((E47/D47)-1),0,((E47/D47)-1))</f>
        <v>0</v>
      </c>
      <c r="F48" s="682">
        <f>IF(ISERROR((F47/E47)-1),0,((F47/E47)-1))</f>
        <v>0</v>
      </c>
      <c r="G48" s="680">
        <f>IF(ISERROR((G47/F47)-1),0,((G47/F47)-1))</f>
        <v>0</v>
      </c>
      <c r="H48" s="683">
        <f>IF(ISERROR((H47/G47)-1),0,((H47/G47)-1))</f>
        <v>0</v>
      </c>
      <c r="I48" s="684"/>
      <c r="J48" s="683">
        <f>IF(ISERROR((J47/H47)-1),0,((J47/H47)-1))</f>
        <v>0</v>
      </c>
      <c r="K48" s="680">
        <f>IF(ISERROR((K47/J47)-1),0,((K47/J47)-1))</f>
        <v>0</v>
      </c>
      <c r="L48" s="681">
        <f>IF(ISERROR((L47/K47)-1),0,((L47/K47)-1))</f>
        <v>0</v>
      </c>
    </row>
    <row r="49" spans="1:40" ht="5.0999999999999996" customHeight="1" x14ac:dyDescent="0.25">
      <c r="A49" s="697"/>
      <c r="B49" s="698"/>
      <c r="C49" s="698"/>
      <c r="D49" s="698"/>
      <c r="E49" s="699"/>
      <c r="F49" s="700"/>
      <c r="G49" s="698"/>
      <c r="H49" s="701"/>
      <c r="I49" s="702"/>
      <c r="J49" s="701"/>
      <c r="K49" s="698"/>
      <c r="L49" s="699"/>
    </row>
    <row r="50" spans="1:40" s="708" customFormat="1" x14ac:dyDescent="0.25">
      <c r="A50" s="1153" t="str">
        <f>head27a</f>
        <v>References</v>
      </c>
      <c r="B50" s="1043"/>
      <c r="C50" s="707"/>
      <c r="D50" s="707"/>
      <c r="E50" s="707"/>
      <c r="F50" s="1072"/>
      <c r="G50" s="707"/>
      <c r="H50" s="707"/>
      <c r="I50" s="707"/>
      <c r="J50" s="707"/>
      <c r="K50" s="707"/>
    </row>
    <row r="51" spans="1:40" s="708" customFormat="1" x14ac:dyDescent="0.25">
      <c r="A51" s="1411" t="s">
        <v>2181</v>
      </c>
      <c r="B51" s="1073"/>
      <c r="C51" s="1074"/>
      <c r="D51" s="1074"/>
      <c r="E51" s="1074"/>
      <c r="F51" s="1074"/>
      <c r="G51" s="1074"/>
      <c r="H51" s="1074"/>
      <c r="I51" s="1074"/>
      <c r="J51" s="1074"/>
      <c r="K51" s="1074"/>
      <c r="L51" s="1074"/>
      <c r="M51" s="1074"/>
      <c r="N51" s="1074"/>
      <c r="O51" s="1074"/>
      <c r="P51" s="1074"/>
      <c r="Q51" s="1074"/>
      <c r="R51" s="1074"/>
      <c r="S51" s="1074"/>
      <c r="T51" s="1074"/>
      <c r="U51" s="1074"/>
      <c r="V51" s="1074"/>
      <c r="W51" s="1074"/>
      <c r="X51" s="1074"/>
      <c r="Y51" s="1074"/>
      <c r="Z51" s="1074"/>
      <c r="AA51" s="1074"/>
      <c r="AB51" s="1074"/>
      <c r="AC51" s="1074"/>
      <c r="AD51" s="1074"/>
      <c r="AE51" s="1074"/>
      <c r="AF51" s="1074"/>
      <c r="AG51" s="1074"/>
      <c r="AH51" s="1074"/>
      <c r="AI51" s="1074"/>
      <c r="AJ51" s="1074"/>
      <c r="AK51" s="1074"/>
      <c r="AL51" s="1074"/>
      <c r="AM51" s="1074"/>
      <c r="AN51" s="1074"/>
    </row>
    <row r="52" spans="1:40" s="708" customFormat="1" x14ac:dyDescent="0.25">
      <c r="A52" s="1411" t="s">
        <v>2182</v>
      </c>
      <c r="B52" s="1073"/>
      <c r="C52" s="1074"/>
      <c r="D52" s="1074"/>
      <c r="E52" s="1074"/>
      <c r="F52" s="1074"/>
      <c r="G52" s="1074"/>
      <c r="H52" s="1074"/>
      <c r="I52" s="1074"/>
      <c r="J52" s="1074"/>
      <c r="K52" s="1074"/>
      <c r="L52" s="1074"/>
      <c r="M52" s="1074"/>
      <c r="N52" s="1074"/>
      <c r="O52" s="1074"/>
      <c r="P52" s="1074"/>
      <c r="Q52" s="1074"/>
      <c r="R52" s="1074"/>
      <c r="S52" s="1074"/>
      <c r="T52" s="1074"/>
      <c r="U52" s="1074"/>
      <c r="V52" s="1074"/>
      <c r="W52" s="1074"/>
      <c r="X52" s="1074"/>
      <c r="Y52" s="1074"/>
      <c r="Z52" s="1074"/>
      <c r="AA52" s="1074"/>
      <c r="AB52" s="1074"/>
      <c r="AC52" s="1074"/>
      <c r="AD52" s="1074"/>
      <c r="AE52" s="1074"/>
      <c r="AF52" s="1074"/>
      <c r="AG52" s="1074"/>
      <c r="AH52" s="1074"/>
      <c r="AI52" s="1074"/>
      <c r="AJ52" s="1074"/>
      <c r="AK52" s="1074"/>
      <c r="AL52" s="1074"/>
      <c r="AM52" s="1074"/>
      <c r="AN52" s="1074"/>
    </row>
    <row r="53" spans="1:40" s="708" customFormat="1" x14ac:dyDescent="0.25">
      <c r="A53" s="1411" t="s">
        <v>2216</v>
      </c>
      <c r="B53" s="1073"/>
      <c r="C53" s="1074"/>
      <c r="D53" s="1074"/>
      <c r="E53" s="1074"/>
      <c r="F53" s="1074"/>
      <c r="G53" s="1074"/>
      <c r="H53" s="1074"/>
      <c r="I53" s="1074"/>
      <c r="J53" s="1074"/>
      <c r="K53" s="1074"/>
      <c r="L53" s="1074"/>
      <c r="M53" s="1074"/>
      <c r="N53" s="1074"/>
      <c r="O53" s="1074"/>
      <c r="P53" s="1074"/>
      <c r="Q53" s="1074"/>
      <c r="R53" s="1074"/>
      <c r="S53" s="1074"/>
      <c r="T53" s="1074"/>
      <c r="U53" s="1074"/>
      <c r="V53" s="1074"/>
      <c r="W53" s="1074"/>
      <c r="X53" s="1074"/>
      <c r="Y53" s="1074"/>
      <c r="Z53" s="1074"/>
      <c r="AA53" s="1074"/>
      <c r="AB53" s="1074"/>
      <c r="AC53" s="1074"/>
      <c r="AD53" s="1074"/>
      <c r="AE53" s="1074"/>
      <c r="AF53" s="1074"/>
      <c r="AG53" s="1074"/>
      <c r="AH53" s="1074"/>
      <c r="AI53" s="1074"/>
      <c r="AJ53" s="1074"/>
      <c r="AK53" s="1074"/>
      <c r="AL53" s="1074"/>
      <c r="AM53" s="1074"/>
      <c r="AN53" s="1074"/>
    </row>
    <row r="54" spans="1:40" x14ac:dyDescent="0.25">
      <c r="A54" s="149" t="s">
        <v>2278</v>
      </c>
    </row>
    <row r="55" spans="1:40" x14ac:dyDescent="0.25">
      <c r="A55" s="706"/>
      <c r="B55" s="703"/>
      <c r="C55" s="704"/>
      <c r="D55" s="704"/>
      <c r="E55" s="704"/>
      <c r="F55" s="705"/>
      <c r="G55" s="704"/>
      <c r="H55" s="704"/>
      <c r="I55" s="704"/>
      <c r="J55" s="704"/>
      <c r="K55" s="707"/>
      <c r="L55" s="708"/>
      <c r="M55" s="708"/>
      <c r="N55" s="708"/>
      <c r="O55" s="708"/>
      <c r="P55" s="708"/>
      <c r="Q55" s="708"/>
      <c r="R55" s="708"/>
      <c r="S55" s="708"/>
      <c r="T55" s="708"/>
      <c r="U55" s="708"/>
      <c r="V55" s="708"/>
      <c r="W55" s="708"/>
      <c r="X55" s="708"/>
      <c r="Y55" s="708"/>
      <c r="Z55" s="708"/>
      <c r="AA55" s="708"/>
      <c r="AB55" s="708"/>
      <c r="AC55" s="708"/>
      <c r="AD55" s="708"/>
      <c r="AE55" s="708"/>
      <c r="AF55" s="708"/>
      <c r="AG55" s="708"/>
      <c r="AH55" s="708"/>
      <c r="AI55" s="708"/>
      <c r="AJ55" s="708"/>
      <c r="AK55" s="708"/>
      <c r="AL55" s="708"/>
      <c r="AM55" s="708"/>
      <c r="AN55" s="708"/>
    </row>
    <row r="56" spans="1:40" x14ac:dyDescent="0.25">
      <c r="A56" s="706"/>
      <c r="B56" s="703"/>
      <c r="C56" s="704"/>
      <c r="D56" s="704"/>
      <c r="E56" s="704"/>
      <c r="F56" s="705"/>
      <c r="G56" s="704"/>
      <c r="H56" s="704"/>
      <c r="I56" s="704"/>
      <c r="J56" s="704"/>
      <c r="K56" s="707"/>
      <c r="L56" s="708"/>
      <c r="M56" s="708"/>
      <c r="N56" s="708"/>
      <c r="O56" s="708"/>
      <c r="P56" s="708"/>
      <c r="Q56" s="708"/>
      <c r="R56" s="708"/>
      <c r="S56" s="708"/>
      <c r="T56" s="708"/>
      <c r="U56" s="708"/>
      <c r="V56" s="708"/>
      <c r="W56" s="708"/>
      <c r="X56" s="708"/>
      <c r="Y56" s="708"/>
      <c r="Z56" s="708"/>
      <c r="AA56" s="708"/>
      <c r="AB56" s="708"/>
      <c r="AC56" s="708"/>
      <c r="AD56" s="708"/>
      <c r="AE56" s="708"/>
      <c r="AF56" s="708"/>
      <c r="AG56" s="708"/>
      <c r="AH56" s="708"/>
      <c r="AI56" s="708"/>
      <c r="AJ56" s="708"/>
      <c r="AK56" s="708"/>
      <c r="AL56" s="708"/>
      <c r="AM56" s="708"/>
      <c r="AN56" s="708"/>
    </row>
    <row r="57" spans="1:40" x14ac:dyDescent="0.25">
      <c r="A57" s="706"/>
      <c r="B57" s="703"/>
      <c r="C57" s="704"/>
      <c r="D57" s="704"/>
      <c r="E57" s="704"/>
      <c r="F57" s="705"/>
      <c r="G57" s="704"/>
      <c r="H57" s="704"/>
      <c r="I57" s="704"/>
      <c r="J57" s="704"/>
      <c r="K57" s="707"/>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8"/>
      <c r="AI57" s="708"/>
      <c r="AJ57" s="708"/>
      <c r="AK57" s="708"/>
      <c r="AL57" s="708"/>
      <c r="AM57" s="708"/>
      <c r="AN57" s="708"/>
    </row>
    <row r="58" spans="1:40" x14ac:dyDescent="0.25">
      <c r="K58" s="707"/>
      <c r="L58" s="708"/>
      <c r="M58" s="708"/>
      <c r="N58" s="708"/>
      <c r="O58" s="708"/>
      <c r="P58" s="708"/>
      <c r="Q58" s="708"/>
      <c r="R58" s="708"/>
      <c r="S58" s="708"/>
      <c r="T58" s="708"/>
      <c r="U58" s="708"/>
      <c r="V58" s="708"/>
      <c r="W58" s="708"/>
      <c r="X58" s="708"/>
      <c r="Y58" s="708"/>
      <c r="Z58" s="708"/>
      <c r="AA58" s="708"/>
      <c r="AB58" s="708"/>
      <c r="AC58" s="708"/>
      <c r="AD58" s="708"/>
      <c r="AE58" s="708"/>
      <c r="AF58" s="708"/>
      <c r="AG58" s="708"/>
      <c r="AH58" s="708"/>
      <c r="AI58" s="708"/>
      <c r="AJ58" s="708"/>
      <c r="AK58" s="708"/>
      <c r="AL58" s="708"/>
      <c r="AM58" s="708"/>
      <c r="AN58" s="708"/>
    </row>
    <row r="59" spans="1:40" x14ac:dyDescent="0.25">
      <c r="K59" s="707"/>
      <c r="L59" s="708"/>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08"/>
      <c r="AL59" s="708"/>
      <c r="AM59" s="708"/>
      <c r="AN59" s="708"/>
    </row>
    <row r="60" spans="1:40" x14ac:dyDescent="0.25">
      <c r="K60" s="707"/>
      <c r="L60" s="708"/>
      <c r="M60" s="708"/>
      <c r="N60" s="708"/>
      <c r="O60" s="708"/>
      <c r="P60" s="708"/>
      <c r="Q60" s="708"/>
      <c r="R60" s="708"/>
      <c r="S60" s="708"/>
      <c r="T60" s="708"/>
      <c r="U60" s="708"/>
      <c r="V60" s="708"/>
      <c r="W60" s="708"/>
      <c r="X60" s="708"/>
      <c r="Y60" s="708"/>
      <c r="Z60" s="708"/>
      <c r="AA60" s="708"/>
      <c r="AB60" s="708"/>
      <c r="AC60" s="708"/>
      <c r="AD60" s="708"/>
      <c r="AE60" s="708"/>
      <c r="AF60" s="708"/>
      <c r="AG60" s="708"/>
      <c r="AH60" s="708"/>
      <c r="AI60" s="708"/>
      <c r="AJ60" s="708"/>
      <c r="AK60" s="708"/>
      <c r="AL60" s="708"/>
      <c r="AM60" s="708"/>
      <c r="AN60" s="708"/>
    </row>
    <row r="61" spans="1:40" x14ac:dyDescent="0.25">
      <c r="K61" s="707"/>
      <c r="L61" s="708"/>
      <c r="M61" s="708"/>
      <c r="N61" s="708"/>
      <c r="O61" s="708"/>
      <c r="P61" s="708"/>
      <c r="Q61" s="708"/>
      <c r="R61" s="708"/>
      <c r="S61" s="708"/>
      <c r="T61" s="708"/>
      <c r="U61" s="708"/>
      <c r="V61" s="708"/>
      <c r="W61" s="708"/>
      <c r="X61" s="708"/>
      <c r="Y61" s="708"/>
      <c r="Z61" s="708"/>
      <c r="AA61" s="708"/>
      <c r="AB61" s="708"/>
      <c r="AC61" s="708"/>
      <c r="AD61" s="708"/>
      <c r="AE61" s="708"/>
      <c r="AF61" s="708"/>
      <c r="AG61" s="708"/>
      <c r="AH61" s="708"/>
      <c r="AI61" s="708"/>
      <c r="AJ61" s="708"/>
      <c r="AK61" s="708"/>
      <c r="AL61" s="708"/>
      <c r="AM61" s="708"/>
      <c r="AN61" s="708"/>
    </row>
    <row r="62" spans="1:40" x14ac:dyDescent="0.25">
      <c r="K62" s="707"/>
      <c r="L62" s="708"/>
      <c r="M62" s="708"/>
      <c r="N62" s="708"/>
      <c r="O62" s="708"/>
      <c r="P62" s="708"/>
      <c r="Q62" s="708"/>
      <c r="R62" s="708"/>
      <c r="S62" s="708"/>
      <c r="T62" s="708"/>
      <c r="U62" s="708"/>
      <c r="V62" s="708"/>
      <c r="W62" s="708"/>
      <c r="X62" s="708"/>
      <c r="Y62" s="708"/>
      <c r="Z62" s="708"/>
      <c r="AA62" s="708"/>
      <c r="AB62" s="708"/>
      <c r="AC62" s="708"/>
      <c r="AD62" s="708"/>
      <c r="AE62" s="708"/>
      <c r="AF62" s="708"/>
      <c r="AG62" s="708"/>
      <c r="AH62" s="708"/>
      <c r="AI62" s="708"/>
      <c r="AJ62" s="708"/>
      <c r="AK62" s="708"/>
      <c r="AL62" s="708"/>
      <c r="AM62" s="708"/>
      <c r="AN62" s="708"/>
    </row>
    <row r="63" spans="1:40" x14ac:dyDescent="0.25">
      <c r="K63" s="707"/>
      <c r="L63" s="708"/>
      <c r="M63" s="708"/>
      <c r="N63" s="708"/>
      <c r="O63" s="708"/>
      <c r="P63" s="708"/>
      <c r="Q63" s="708"/>
      <c r="R63" s="708"/>
      <c r="S63" s="708"/>
      <c r="T63" s="708"/>
      <c r="U63" s="708"/>
      <c r="V63" s="708"/>
      <c r="W63" s="708"/>
      <c r="X63" s="708"/>
      <c r="Y63" s="708"/>
      <c r="Z63" s="708"/>
      <c r="AA63" s="708"/>
      <c r="AB63" s="708"/>
      <c r="AC63" s="708"/>
      <c r="AD63" s="708"/>
      <c r="AE63" s="708"/>
      <c r="AF63" s="708"/>
      <c r="AG63" s="708"/>
      <c r="AH63" s="708"/>
      <c r="AI63" s="708"/>
      <c r="AJ63" s="708"/>
      <c r="AK63" s="708"/>
      <c r="AL63" s="708"/>
      <c r="AM63" s="708"/>
      <c r="AN63" s="708"/>
    </row>
    <row r="64" spans="1:40" x14ac:dyDescent="0.25">
      <c r="K64" s="707"/>
      <c r="L64" s="708"/>
      <c r="M64" s="708"/>
      <c r="N64" s="708"/>
      <c r="O64" s="708"/>
      <c r="P64" s="708"/>
      <c r="Q64" s="708"/>
      <c r="R64" s="708"/>
      <c r="S64" s="708"/>
      <c r="T64" s="708"/>
      <c r="U64" s="708"/>
      <c r="V64" s="708"/>
      <c r="W64" s="708"/>
      <c r="X64" s="708"/>
      <c r="Y64" s="708"/>
      <c r="Z64" s="708"/>
      <c r="AA64" s="708"/>
      <c r="AB64" s="708"/>
      <c r="AC64" s="708"/>
      <c r="AD64" s="708"/>
      <c r="AE64" s="708"/>
      <c r="AF64" s="708"/>
      <c r="AG64" s="708"/>
      <c r="AH64" s="708"/>
      <c r="AI64" s="708"/>
      <c r="AJ64" s="708"/>
      <c r="AK64" s="708"/>
      <c r="AL64" s="708"/>
      <c r="AM64" s="708"/>
      <c r="AN64" s="708"/>
    </row>
    <row r="65" spans="11:40" x14ac:dyDescent="0.25">
      <c r="K65" s="707"/>
      <c r="L65" s="708"/>
      <c r="M65" s="708"/>
      <c r="N65" s="708"/>
      <c r="O65" s="708"/>
      <c r="P65" s="708"/>
      <c r="Q65" s="708"/>
      <c r="R65" s="708"/>
      <c r="S65" s="708"/>
      <c r="T65" s="708"/>
      <c r="U65" s="708"/>
      <c r="V65" s="708"/>
      <c r="W65" s="708"/>
      <c r="X65" s="708"/>
      <c r="Y65" s="708"/>
      <c r="Z65" s="708"/>
      <c r="AA65" s="708"/>
      <c r="AB65" s="708"/>
      <c r="AC65" s="708"/>
      <c r="AD65" s="708"/>
      <c r="AE65" s="708"/>
      <c r="AF65" s="708"/>
      <c r="AG65" s="708"/>
      <c r="AH65" s="708"/>
      <c r="AI65" s="708"/>
      <c r="AJ65" s="708"/>
      <c r="AK65" s="708"/>
      <c r="AL65" s="708"/>
      <c r="AM65" s="708"/>
      <c r="AN65" s="708"/>
    </row>
    <row r="66" spans="11:40" x14ac:dyDescent="0.25">
      <c r="K66" s="707"/>
      <c r="L66" s="708"/>
      <c r="M66" s="708"/>
      <c r="N66" s="708"/>
      <c r="O66" s="708"/>
      <c r="P66" s="708"/>
      <c r="Q66" s="708"/>
      <c r="R66" s="708"/>
      <c r="S66" s="708"/>
      <c r="T66" s="708"/>
      <c r="U66" s="708"/>
      <c r="V66" s="708"/>
      <c r="W66" s="708"/>
      <c r="X66" s="708"/>
      <c r="Y66" s="708"/>
      <c r="Z66" s="708"/>
      <c r="AA66" s="708"/>
      <c r="AB66" s="708"/>
      <c r="AC66" s="708"/>
      <c r="AD66" s="708"/>
      <c r="AE66" s="708"/>
      <c r="AF66" s="708"/>
      <c r="AG66" s="708"/>
      <c r="AH66" s="708"/>
      <c r="AI66" s="708"/>
      <c r="AJ66" s="708"/>
      <c r="AK66" s="708"/>
      <c r="AL66" s="708"/>
      <c r="AM66" s="708"/>
      <c r="AN66" s="708"/>
    </row>
    <row r="67" spans="11:40" x14ac:dyDescent="0.25">
      <c r="K67" s="707"/>
      <c r="L67" s="708"/>
      <c r="M67" s="708"/>
      <c r="N67" s="708"/>
      <c r="O67" s="708"/>
      <c r="P67" s="708"/>
      <c r="Q67" s="708"/>
      <c r="R67" s="708"/>
      <c r="S67" s="708"/>
      <c r="T67" s="708"/>
      <c r="U67" s="708"/>
      <c r="V67" s="708"/>
      <c r="W67" s="708"/>
      <c r="X67" s="708"/>
      <c r="Y67" s="708"/>
      <c r="Z67" s="708"/>
      <c r="AA67" s="708"/>
      <c r="AB67" s="708"/>
      <c r="AC67" s="708"/>
      <c r="AD67" s="708"/>
      <c r="AE67" s="708"/>
      <c r="AF67" s="708"/>
      <c r="AG67" s="708"/>
      <c r="AH67" s="708"/>
      <c r="AI67" s="708"/>
      <c r="AJ67" s="708"/>
      <c r="AK67" s="708"/>
      <c r="AL67" s="708"/>
      <c r="AM67" s="708"/>
      <c r="AN67" s="708"/>
    </row>
    <row r="68" spans="11:40" x14ac:dyDescent="0.25">
      <c r="K68" s="707"/>
      <c r="L68" s="708"/>
      <c r="M68" s="708"/>
      <c r="N68" s="708"/>
      <c r="O68" s="708"/>
      <c r="P68" s="708"/>
      <c r="Q68" s="708"/>
      <c r="R68" s="708"/>
      <c r="S68" s="708"/>
      <c r="T68" s="708"/>
      <c r="U68" s="708"/>
      <c r="V68" s="708"/>
      <c r="W68" s="708"/>
      <c r="X68" s="708"/>
      <c r="Y68" s="708"/>
      <c r="Z68" s="708"/>
      <c r="AA68" s="708"/>
      <c r="AB68" s="708"/>
      <c r="AC68" s="708"/>
      <c r="AD68" s="708"/>
      <c r="AE68" s="708"/>
      <c r="AF68" s="708"/>
      <c r="AG68" s="708"/>
      <c r="AH68" s="708"/>
      <c r="AI68" s="708"/>
      <c r="AJ68" s="708"/>
      <c r="AK68" s="708"/>
      <c r="AL68" s="708"/>
      <c r="AM68" s="708"/>
      <c r="AN68" s="708"/>
    </row>
    <row r="69" spans="11:40" x14ac:dyDescent="0.25">
      <c r="K69" s="707"/>
      <c r="L69" s="708"/>
      <c r="M69" s="708"/>
      <c r="N69" s="708"/>
      <c r="O69" s="708"/>
      <c r="P69" s="708"/>
      <c r="Q69" s="708"/>
      <c r="R69" s="708"/>
      <c r="S69" s="708"/>
      <c r="T69" s="708"/>
      <c r="U69" s="708"/>
      <c r="V69" s="708"/>
      <c r="W69" s="708"/>
      <c r="X69" s="708"/>
      <c r="Y69" s="708"/>
      <c r="Z69" s="708"/>
      <c r="AA69" s="708"/>
      <c r="AB69" s="708"/>
      <c r="AC69" s="708"/>
      <c r="AD69" s="708"/>
      <c r="AE69" s="708"/>
      <c r="AF69" s="708"/>
      <c r="AG69" s="708"/>
      <c r="AH69" s="708"/>
      <c r="AI69" s="708"/>
      <c r="AJ69" s="708"/>
      <c r="AK69" s="708"/>
      <c r="AL69" s="708"/>
      <c r="AM69" s="708"/>
      <c r="AN69" s="708"/>
    </row>
    <row r="70" spans="11:40" x14ac:dyDescent="0.25">
      <c r="K70" s="707"/>
      <c r="L70" s="708"/>
      <c r="M70" s="708"/>
      <c r="N70" s="708"/>
      <c r="O70" s="708"/>
      <c r="P70" s="708"/>
      <c r="Q70" s="708"/>
      <c r="R70" s="708"/>
      <c r="S70" s="708"/>
      <c r="T70" s="708"/>
      <c r="U70" s="708"/>
      <c r="V70" s="708"/>
      <c r="W70" s="708"/>
      <c r="X70" s="708"/>
      <c r="Y70" s="708"/>
      <c r="Z70" s="708"/>
      <c r="AA70" s="708"/>
      <c r="AB70" s="708"/>
      <c r="AC70" s="708"/>
      <c r="AD70" s="708"/>
      <c r="AE70" s="708"/>
      <c r="AF70" s="708"/>
      <c r="AG70" s="708"/>
      <c r="AH70" s="708"/>
      <c r="AI70" s="708"/>
      <c r="AJ70" s="708"/>
      <c r="AK70" s="708"/>
      <c r="AL70" s="708"/>
      <c r="AM70" s="708"/>
      <c r="AN70" s="708"/>
    </row>
    <row r="71" spans="11:40" x14ac:dyDescent="0.25">
      <c r="K71" s="707"/>
      <c r="L71" s="708"/>
      <c r="M71" s="708"/>
      <c r="N71" s="708"/>
      <c r="O71" s="708"/>
      <c r="P71" s="708"/>
      <c r="Q71" s="708"/>
      <c r="R71" s="708"/>
      <c r="S71" s="708"/>
      <c r="T71" s="708"/>
      <c r="U71" s="708"/>
      <c r="V71" s="708"/>
      <c r="W71" s="708"/>
      <c r="X71" s="708"/>
      <c r="Y71" s="708"/>
      <c r="Z71" s="708"/>
      <c r="AA71" s="708"/>
      <c r="AB71" s="708"/>
      <c r="AC71" s="708"/>
      <c r="AD71" s="708"/>
      <c r="AE71" s="708"/>
      <c r="AF71" s="708"/>
      <c r="AG71" s="708"/>
      <c r="AH71" s="708"/>
      <c r="AI71" s="708"/>
      <c r="AJ71" s="708"/>
      <c r="AK71" s="708"/>
      <c r="AL71" s="708"/>
      <c r="AM71" s="708"/>
      <c r="AN71" s="708"/>
    </row>
    <row r="72" spans="11:40" x14ac:dyDescent="0.25">
      <c r="K72" s="707"/>
      <c r="L72" s="708"/>
      <c r="M72" s="708"/>
      <c r="N72" s="708"/>
      <c r="O72" s="708"/>
      <c r="P72" s="708"/>
      <c r="Q72" s="708"/>
      <c r="R72" s="708"/>
      <c r="S72" s="708"/>
      <c r="T72" s="708"/>
      <c r="U72" s="708"/>
      <c r="V72" s="708"/>
      <c r="W72" s="708"/>
      <c r="X72" s="708"/>
      <c r="Y72" s="708"/>
      <c r="Z72" s="708"/>
      <c r="AA72" s="708"/>
      <c r="AB72" s="708"/>
      <c r="AC72" s="708"/>
      <c r="AD72" s="708"/>
      <c r="AE72" s="708"/>
      <c r="AF72" s="708"/>
      <c r="AG72" s="708"/>
      <c r="AH72" s="708"/>
      <c r="AI72" s="708"/>
      <c r="AJ72" s="708"/>
      <c r="AK72" s="708"/>
      <c r="AL72" s="708"/>
      <c r="AM72" s="708"/>
      <c r="AN72" s="708"/>
    </row>
    <row r="73" spans="11:40" x14ac:dyDescent="0.25">
      <c r="K73" s="707"/>
      <c r="L73" s="708"/>
      <c r="M73" s="708"/>
      <c r="N73" s="708"/>
      <c r="O73" s="708"/>
      <c r="P73" s="708"/>
      <c r="Q73" s="708"/>
      <c r="R73" s="708"/>
      <c r="S73" s="708"/>
      <c r="T73" s="708"/>
      <c r="U73" s="708"/>
      <c r="V73" s="708"/>
      <c r="W73" s="708"/>
      <c r="X73" s="708"/>
      <c r="Y73" s="708"/>
      <c r="Z73" s="708"/>
      <c r="AA73" s="708"/>
      <c r="AB73" s="708"/>
      <c r="AC73" s="708"/>
      <c r="AD73" s="708"/>
      <c r="AE73" s="708"/>
      <c r="AF73" s="708"/>
      <c r="AG73" s="708"/>
      <c r="AH73" s="708"/>
      <c r="AI73" s="708"/>
      <c r="AJ73" s="708"/>
      <c r="AK73" s="708"/>
      <c r="AL73" s="708"/>
      <c r="AM73" s="708"/>
      <c r="AN73" s="708"/>
    </row>
    <row r="74" spans="11:40" x14ac:dyDescent="0.25">
      <c r="K74" s="707"/>
      <c r="L74" s="708"/>
      <c r="M74" s="708"/>
      <c r="N74" s="708"/>
      <c r="O74" s="708"/>
      <c r="P74" s="708"/>
      <c r="Q74" s="708"/>
      <c r="R74" s="708"/>
      <c r="S74" s="708"/>
      <c r="T74" s="708"/>
      <c r="U74" s="708"/>
      <c r="V74" s="708"/>
      <c r="W74" s="708"/>
      <c r="X74" s="708"/>
      <c r="Y74" s="708"/>
      <c r="Z74" s="708"/>
      <c r="AA74" s="708"/>
      <c r="AB74" s="708"/>
      <c r="AC74" s="708"/>
      <c r="AD74" s="708"/>
      <c r="AE74" s="708"/>
      <c r="AF74" s="708"/>
      <c r="AG74" s="708"/>
      <c r="AH74" s="708"/>
      <c r="AI74" s="708"/>
      <c r="AJ74" s="708"/>
      <c r="AK74" s="708"/>
      <c r="AL74" s="708"/>
      <c r="AM74" s="708"/>
      <c r="AN74" s="708"/>
    </row>
    <row r="75" spans="11:40" x14ac:dyDescent="0.25">
      <c r="K75" s="707"/>
      <c r="L75" s="708"/>
      <c r="M75" s="708"/>
      <c r="N75" s="708"/>
      <c r="O75" s="708"/>
      <c r="P75" s="708"/>
      <c r="Q75" s="708"/>
      <c r="R75" s="708"/>
      <c r="S75" s="708"/>
      <c r="T75" s="708"/>
      <c r="U75" s="708"/>
      <c r="V75" s="708"/>
      <c r="W75" s="708"/>
      <c r="X75" s="708"/>
      <c r="Y75" s="708"/>
      <c r="Z75" s="708"/>
      <c r="AA75" s="708"/>
      <c r="AB75" s="708"/>
      <c r="AC75" s="708"/>
      <c r="AD75" s="708"/>
      <c r="AE75" s="708"/>
      <c r="AF75" s="708"/>
      <c r="AG75" s="708"/>
      <c r="AH75" s="708"/>
      <c r="AI75" s="708"/>
      <c r="AJ75" s="708"/>
      <c r="AK75" s="708"/>
      <c r="AL75" s="708"/>
      <c r="AM75" s="708"/>
      <c r="AN75" s="708"/>
    </row>
    <row r="76" spans="11:40" x14ac:dyDescent="0.25">
      <c r="K76" s="707"/>
      <c r="L76" s="708"/>
      <c r="M76" s="708"/>
      <c r="N76" s="708"/>
      <c r="O76" s="708"/>
      <c r="P76" s="708"/>
      <c r="Q76" s="708"/>
      <c r="R76" s="708"/>
      <c r="S76" s="708"/>
      <c r="T76" s="708"/>
      <c r="U76" s="708"/>
      <c r="V76" s="708"/>
      <c r="W76" s="708"/>
      <c r="X76" s="708"/>
      <c r="Y76" s="708"/>
      <c r="Z76" s="708"/>
      <c r="AA76" s="708"/>
      <c r="AB76" s="708"/>
      <c r="AC76" s="708"/>
      <c r="AD76" s="708"/>
      <c r="AE76" s="708"/>
      <c r="AF76" s="708"/>
      <c r="AG76" s="708"/>
      <c r="AH76" s="708"/>
      <c r="AI76" s="708"/>
      <c r="AJ76" s="708"/>
      <c r="AK76" s="708"/>
      <c r="AL76" s="708"/>
      <c r="AM76" s="708"/>
      <c r="AN76" s="708"/>
    </row>
    <row r="77" spans="11:40" x14ac:dyDescent="0.25">
      <c r="K77" s="707"/>
      <c r="L77" s="708"/>
      <c r="M77" s="708"/>
      <c r="N77" s="708"/>
      <c r="O77" s="708"/>
      <c r="P77" s="708"/>
      <c r="Q77" s="708"/>
      <c r="R77" s="708"/>
      <c r="S77" s="708"/>
      <c r="T77" s="708"/>
      <c r="U77" s="708"/>
      <c r="V77" s="708"/>
      <c r="W77" s="708"/>
      <c r="X77" s="708"/>
      <c r="Y77" s="708"/>
      <c r="Z77" s="708"/>
      <c r="AA77" s="708"/>
      <c r="AB77" s="708"/>
      <c r="AC77" s="708"/>
      <c r="AD77" s="708"/>
      <c r="AE77" s="708"/>
      <c r="AF77" s="708"/>
      <c r="AG77" s="708"/>
      <c r="AH77" s="708"/>
      <c r="AI77" s="708"/>
      <c r="AJ77" s="708"/>
      <c r="AK77" s="708"/>
      <c r="AL77" s="708"/>
      <c r="AM77" s="708"/>
      <c r="AN77" s="708"/>
    </row>
    <row r="78" spans="11:40" x14ac:dyDescent="0.25">
      <c r="K78" s="707"/>
      <c r="L78" s="708"/>
      <c r="M78" s="708"/>
      <c r="N78" s="708"/>
      <c r="O78" s="708"/>
      <c r="P78" s="708"/>
      <c r="Q78" s="708"/>
      <c r="R78" s="708"/>
      <c r="S78" s="708"/>
      <c r="T78" s="708"/>
      <c r="U78" s="708"/>
      <c r="V78" s="708"/>
      <c r="W78" s="708"/>
      <c r="X78" s="708"/>
      <c r="Y78" s="708"/>
      <c r="Z78" s="708"/>
      <c r="AA78" s="708"/>
      <c r="AB78" s="708"/>
      <c r="AC78" s="708"/>
      <c r="AD78" s="708"/>
      <c r="AE78" s="708"/>
      <c r="AF78" s="708"/>
      <c r="AG78" s="708"/>
      <c r="AH78" s="708"/>
      <c r="AI78" s="708"/>
      <c r="AJ78" s="708"/>
      <c r="AK78" s="708"/>
      <c r="AL78" s="708"/>
      <c r="AM78" s="708"/>
      <c r="AN78" s="708"/>
    </row>
    <row r="79" spans="11:40" x14ac:dyDescent="0.25">
      <c r="K79" s="707"/>
      <c r="L79" s="708"/>
      <c r="M79" s="708"/>
      <c r="N79" s="708"/>
      <c r="O79" s="708"/>
      <c r="P79" s="708"/>
      <c r="Q79" s="708"/>
      <c r="R79" s="708"/>
      <c r="S79" s="708"/>
      <c r="T79" s="708"/>
      <c r="U79" s="708"/>
      <c r="V79" s="708"/>
      <c r="W79" s="708"/>
      <c r="X79" s="708"/>
      <c r="Y79" s="708"/>
      <c r="Z79" s="708"/>
      <c r="AA79" s="708"/>
      <c r="AB79" s="708"/>
      <c r="AC79" s="708"/>
      <c r="AD79" s="708"/>
      <c r="AE79" s="708"/>
      <c r="AF79" s="708"/>
      <c r="AG79" s="708"/>
      <c r="AH79" s="708"/>
      <c r="AI79" s="708"/>
      <c r="AJ79" s="708"/>
      <c r="AK79" s="708"/>
      <c r="AL79" s="708"/>
      <c r="AM79" s="708"/>
      <c r="AN79" s="708"/>
    </row>
    <row r="80" spans="11:40" x14ac:dyDescent="0.25">
      <c r="K80" s="707"/>
      <c r="L80" s="708"/>
      <c r="M80" s="708"/>
      <c r="N80" s="708"/>
      <c r="O80" s="708"/>
      <c r="P80" s="708"/>
      <c r="Q80" s="708"/>
      <c r="R80" s="708"/>
      <c r="S80" s="708"/>
      <c r="T80" s="708"/>
      <c r="U80" s="708"/>
      <c r="V80" s="708"/>
      <c r="W80" s="708"/>
      <c r="X80" s="708"/>
      <c r="Y80" s="708"/>
      <c r="Z80" s="708"/>
      <c r="AA80" s="708"/>
      <c r="AB80" s="708"/>
      <c r="AC80" s="708"/>
      <c r="AD80" s="708"/>
      <c r="AE80" s="708"/>
      <c r="AF80" s="708"/>
      <c r="AG80" s="708"/>
      <c r="AH80" s="708"/>
      <c r="AI80" s="708"/>
      <c r="AJ80" s="708"/>
      <c r="AK80" s="708"/>
      <c r="AL80" s="708"/>
      <c r="AM80" s="708"/>
      <c r="AN80" s="708"/>
    </row>
    <row r="81" spans="11:40" x14ac:dyDescent="0.25">
      <c r="K81" s="707"/>
      <c r="L81" s="708"/>
      <c r="M81" s="708"/>
      <c r="N81" s="708"/>
      <c r="O81" s="708"/>
      <c r="P81" s="708"/>
      <c r="Q81" s="708"/>
      <c r="R81" s="708"/>
      <c r="S81" s="708"/>
      <c r="T81" s="708"/>
      <c r="U81" s="708"/>
      <c r="V81" s="708"/>
      <c r="W81" s="708"/>
      <c r="X81" s="708"/>
      <c r="Y81" s="708"/>
      <c r="Z81" s="708"/>
      <c r="AA81" s="708"/>
      <c r="AB81" s="708"/>
      <c r="AC81" s="708"/>
      <c r="AD81" s="708"/>
      <c r="AE81" s="708"/>
      <c r="AF81" s="708"/>
      <c r="AG81" s="708"/>
      <c r="AH81" s="708"/>
      <c r="AI81" s="708"/>
      <c r="AJ81" s="708"/>
      <c r="AK81" s="708"/>
      <c r="AL81" s="708"/>
      <c r="AM81" s="708"/>
      <c r="AN81" s="708"/>
    </row>
    <row r="82" spans="11:40" x14ac:dyDescent="0.25">
      <c r="K82" s="707"/>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row>
    <row r="83" spans="11:40" x14ac:dyDescent="0.25">
      <c r="K83" s="707"/>
      <c r="L83" s="708"/>
      <c r="M83" s="708"/>
      <c r="N83" s="708"/>
      <c r="O83" s="708"/>
      <c r="P83" s="708"/>
      <c r="Q83" s="708"/>
      <c r="R83" s="708"/>
      <c r="S83" s="708"/>
      <c r="T83" s="708"/>
      <c r="U83" s="708"/>
      <c r="V83" s="708"/>
      <c r="W83" s="708"/>
      <c r="X83" s="708"/>
      <c r="Y83" s="708"/>
      <c r="Z83" s="708"/>
      <c r="AA83" s="708"/>
      <c r="AB83" s="708"/>
      <c r="AC83" s="708"/>
      <c r="AD83" s="708"/>
      <c r="AE83" s="708"/>
      <c r="AF83" s="708"/>
      <c r="AG83" s="708"/>
      <c r="AH83" s="708"/>
      <c r="AI83" s="708"/>
      <c r="AJ83" s="708"/>
      <c r="AK83" s="708"/>
      <c r="AL83" s="708"/>
      <c r="AM83" s="708"/>
      <c r="AN83" s="708"/>
    </row>
    <row r="84" spans="11:40" x14ac:dyDescent="0.25">
      <c r="K84" s="707"/>
      <c r="L84" s="708"/>
      <c r="M84" s="708"/>
      <c r="N84" s="708"/>
      <c r="O84" s="708"/>
      <c r="P84" s="708"/>
      <c r="Q84" s="708"/>
      <c r="R84" s="708"/>
      <c r="S84" s="708"/>
      <c r="T84" s="708"/>
      <c r="U84" s="708"/>
      <c r="V84" s="708"/>
      <c r="W84" s="708"/>
      <c r="X84" s="708"/>
      <c r="Y84" s="708"/>
      <c r="Z84" s="708"/>
      <c r="AA84" s="708"/>
      <c r="AB84" s="708"/>
      <c r="AC84" s="708"/>
      <c r="AD84" s="708"/>
      <c r="AE84" s="708"/>
      <c r="AF84" s="708"/>
      <c r="AG84" s="708"/>
      <c r="AH84" s="708"/>
      <c r="AI84" s="708"/>
      <c r="AJ84" s="708"/>
      <c r="AK84" s="708"/>
      <c r="AL84" s="708"/>
      <c r="AM84" s="708"/>
      <c r="AN84" s="708"/>
    </row>
    <row r="85" spans="11:40" x14ac:dyDescent="0.25">
      <c r="K85" s="707"/>
      <c r="L85" s="708"/>
      <c r="M85" s="708"/>
      <c r="N85" s="708"/>
      <c r="O85" s="708"/>
      <c r="P85" s="708"/>
      <c r="Q85" s="708"/>
      <c r="R85" s="708"/>
      <c r="S85" s="708"/>
      <c r="T85" s="708"/>
      <c r="U85" s="708"/>
      <c r="V85" s="708"/>
      <c r="W85" s="708"/>
      <c r="X85" s="708"/>
      <c r="Y85" s="708"/>
      <c r="Z85" s="708"/>
      <c r="AA85" s="708"/>
      <c r="AB85" s="708"/>
      <c r="AC85" s="708"/>
      <c r="AD85" s="708"/>
      <c r="AE85" s="708"/>
      <c r="AF85" s="708"/>
      <c r="AG85" s="708"/>
      <c r="AH85" s="708"/>
      <c r="AI85" s="708"/>
      <c r="AJ85" s="708"/>
      <c r="AK85" s="708"/>
      <c r="AL85" s="708"/>
      <c r="AM85" s="708"/>
      <c r="AN85" s="708"/>
    </row>
    <row r="86" spans="11:40" x14ac:dyDescent="0.25">
      <c r="K86" s="707"/>
      <c r="L86" s="708"/>
      <c r="M86" s="708"/>
      <c r="N86" s="708"/>
      <c r="O86" s="708"/>
      <c r="P86" s="708"/>
      <c r="Q86" s="708"/>
      <c r="R86" s="708"/>
      <c r="S86" s="708"/>
      <c r="T86" s="708"/>
      <c r="U86" s="708"/>
      <c r="V86" s="708"/>
      <c r="W86" s="708"/>
      <c r="X86" s="708"/>
      <c r="Y86" s="708"/>
      <c r="Z86" s="708"/>
      <c r="AA86" s="708"/>
      <c r="AB86" s="708"/>
      <c r="AC86" s="708"/>
      <c r="AD86" s="708"/>
      <c r="AE86" s="708"/>
      <c r="AF86" s="708"/>
      <c r="AG86" s="708"/>
      <c r="AH86" s="708"/>
      <c r="AI86" s="708"/>
      <c r="AJ86" s="708"/>
      <c r="AK86" s="708"/>
      <c r="AL86" s="708"/>
      <c r="AM86" s="708"/>
      <c r="AN86" s="708"/>
    </row>
    <row r="87" spans="11:40" x14ac:dyDescent="0.25">
      <c r="K87" s="707"/>
      <c r="L87" s="708"/>
      <c r="M87" s="708"/>
      <c r="N87" s="708"/>
      <c r="O87" s="708"/>
      <c r="P87" s="708"/>
      <c r="Q87" s="708"/>
      <c r="R87" s="708"/>
      <c r="S87" s="708"/>
      <c r="T87" s="708"/>
      <c r="U87" s="708"/>
      <c r="V87" s="708"/>
      <c r="W87" s="708"/>
      <c r="X87" s="708"/>
      <c r="Y87" s="708"/>
      <c r="Z87" s="708"/>
      <c r="AA87" s="708"/>
      <c r="AB87" s="708"/>
      <c r="AC87" s="708"/>
      <c r="AD87" s="708"/>
      <c r="AE87" s="708"/>
      <c r="AF87" s="708"/>
      <c r="AG87" s="708"/>
      <c r="AH87" s="708"/>
      <c r="AI87" s="708"/>
      <c r="AJ87" s="708"/>
      <c r="AK87" s="708"/>
      <c r="AL87" s="708"/>
      <c r="AM87" s="708"/>
      <c r="AN87" s="708"/>
    </row>
    <row r="88" spans="11:40" x14ac:dyDescent="0.25">
      <c r="K88" s="707"/>
      <c r="L88" s="708"/>
      <c r="M88" s="708"/>
      <c r="N88" s="708"/>
      <c r="O88" s="708"/>
      <c r="P88" s="708"/>
      <c r="Q88" s="708"/>
      <c r="R88" s="708"/>
      <c r="S88" s="708"/>
      <c r="T88" s="708"/>
      <c r="U88" s="708"/>
      <c r="V88" s="708"/>
      <c r="W88" s="708"/>
      <c r="X88" s="708"/>
      <c r="Y88" s="708"/>
      <c r="Z88" s="708"/>
      <c r="AA88" s="708"/>
      <c r="AB88" s="708"/>
      <c r="AC88" s="708"/>
      <c r="AD88" s="708"/>
      <c r="AE88" s="708"/>
      <c r="AF88" s="708"/>
      <c r="AG88" s="708"/>
      <c r="AH88" s="708"/>
      <c r="AI88" s="708"/>
      <c r="AJ88" s="708"/>
      <c r="AK88" s="708"/>
      <c r="AL88" s="708"/>
      <c r="AM88" s="708"/>
      <c r="AN88" s="708"/>
    </row>
    <row r="89" spans="11:40" x14ac:dyDescent="0.25">
      <c r="K89" s="707"/>
      <c r="L89" s="708"/>
      <c r="M89" s="708"/>
      <c r="N89" s="708"/>
      <c r="O89" s="708"/>
      <c r="P89" s="708"/>
      <c r="Q89" s="708"/>
      <c r="R89" s="708"/>
      <c r="S89" s="708"/>
      <c r="T89" s="708"/>
      <c r="U89" s="708"/>
      <c r="V89" s="708"/>
      <c r="W89" s="708"/>
      <c r="X89" s="708"/>
      <c r="Y89" s="708"/>
      <c r="Z89" s="708"/>
      <c r="AA89" s="708"/>
      <c r="AB89" s="708"/>
      <c r="AC89" s="708"/>
      <c r="AD89" s="708"/>
      <c r="AE89" s="708"/>
      <c r="AF89" s="708"/>
      <c r="AG89" s="708"/>
      <c r="AH89" s="708"/>
      <c r="AI89" s="708"/>
      <c r="AJ89" s="708"/>
      <c r="AK89" s="708"/>
      <c r="AL89" s="708"/>
      <c r="AM89" s="708"/>
      <c r="AN89" s="708"/>
    </row>
    <row r="90" spans="11:40" x14ac:dyDescent="0.25">
      <c r="K90" s="707"/>
      <c r="L90" s="708"/>
      <c r="M90" s="708"/>
      <c r="N90" s="708"/>
      <c r="O90" s="708"/>
      <c r="P90" s="708"/>
      <c r="Q90" s="708"/>
      <c r="R90" s="708"/>
      <c r="S90" s="708"/>
      <c r="T90" s="708"/>
      <c r="U90" s="708"/>
      <c r="V90" s="708"/>
      <c r="W90" s="708"/>
      <c r="X90" s="708"/>
      <c r="Y90" s="708"/>
      <c r="Z90" s="708"/>
      <c r="AA90" s="708"/>
      <c r="AB90" s="708"/>
      <c r="AC90" s="708"/>
      <c r="AD90" s="708"/>
      <c r="AE90" s="708"/>
      <c r="AF90" s="708"/>
      <c r="AG90" s="708"/>
      <c r="AH90" s="708"/>
      <c r="AI90" s="708"/>
      <c r="AJ90" s="708"/>
      <c r="AK90" s="708"/>
      <c r="AL90" s="708"/>
      <c r="AM90" s="708"/>
      <c r="AN90" s="708"/>
    </row>
    <row r="91" spans="11:40" x14ac:dyDescent="0.25">
      <c r="K91" s="707"/>
      <c r="L91" s="708"/>
      <c r="M91" s="708"/>
      <c r="N91" s="708"/>
      <c r="O91" s="708"/>
      <c r="P91" s="708"/>
      <c r="Q91" s="708"/>
      <c r="R91" s="708"/>
      <c r="S91" s="708"/>
      <c r="T91" s="708"/>
      <c r="U91" s="708"/>
      <c r="V91" s="708"/>
      <c r="W91" s="708"/>
      <c r="X91" s="708"/>
      <c r="Y91" s="708"/>
      <c r="Z91" s="708"/>
      <c r="AA91" s="708"/>
      <c r="AB91" s="708"/>
      <c r="AC91" s="708"/>
      <c r="AD91" s="708"/>
      <c r="AE91" s="708"/>
      <c r="AF91" s="708"/>
      <c r="AG91" s="708"/>
      <c r="AH91" s="708"/>
      <c r="AI91" s="708"/>
      <c r="AJ91" s="708"/>
      <c r="AK91" s="708"/>
      <c r="AL91" s="708"/>
      <c r="AM91" s="708"/>
      <c r="AN91" s="708"/>
    </row>
    <row r="92" spans="11:40" x14ac:dyDescent="0.25">
      <c r="K92" s="707"/>
      <c r="L92" s="708"/>
      <c r="M92" s="708"/>
      <c r="N92" s="708"/>
      <c r="O92" s="708"/>
      <c r="P92" s="708"/>
      <c r="Q92" s="708"/>
      <c r="R92" s="708"/>
      <c r="S92" s="708"/>
      <c r="T92" s="708"/>
      <c r="U92" s="708"/>
      <c r="V92" s="708"/>
      <c r="W92" s="708"/>
      <c r="X92" s="708"/>
      <c r="Y92" s="708"/>
      <c r="Z92" s="708"/>
      <c r="AA92" s="708"/>
      <c r="AB92" s="708"/>
      <c r="AC92" s="708"/>
      <c r="AD92" s="708"/>
      <c r="AE92" s="708"/>
      <c r="AF92" s="708"/>
      <c r="AG92" s="708"/>
      <c r="AH92" s="708"/>
      <c r="AI92" s="708"/>
      <c r="AJ92" s="708"/>
      <c r="AK92" s="708"/>
      <c r="AL92" s="708"/>
      <c r="AM92" s="708"/>
      <c r="AN92" s="708"/>
    </row>
    <row r="93" spans="11:40" x14ac:dyDescent="0.25">
      <c r="K93" s="707"/>
      <c r="L93" s="708"/>
      <c r="M93" s="708"/>
      <c r="N93" s="708"/>
      <c r="O93" s="708"/>
      <c r="P93" s="708"/>
      <c r="Q93" s="708"/>
      <c r="R93" s="708"/>
      <c r="S93" s="708"/>
      <c r="T93" s="708"/>
      <c r="U93" s="708"/>
      <c r="V93" s="708"/>
      <c r="W93" s="708"/>
      <c r="X93" s="708"/>
      <c r="Y93" s="708"/>
      <c r="Z93" s="708"/>
      <c r="AA93" s="708"/>
      <c r="AB93" s="708"/>
      <c r="AC93" s="708"/>
      <c r="AD93" s="708"/>
      <c r="AE93" s="708"/>
      <c r="AF93" s="708"/>
      <c r="AG93" s="708"/>
      <c r="AH93" s="708"/>
      <c r="AI93" s="708"/>
      <c r="AJ93" s="708"/>
      <c r="AK93" s="708"/>
      <c r="AL93" s="708"/>
      <c r="AM93" s="708"/>
      <c r="AN93" s="708"/>
    </row>
    <row r="94" spans="11:40" x14ac:dyDescent="0.25">
      <c r="K94" s="707"/>
      <c r="L94" s="708"/>
      <c r="M94" s="708"/>
      <c r="N94" s="708"/>
      <c r="O94" s="708"/>
      <c r="P94" s="708"/>
      <c r="Q94" s="708"/>
      <c r="R94" s="708"/>
      <c r="S94" s="708"/>
      <c r="T94" s="708"/>
      <c r="U94" s="708"/>
      <c r="V94" s="708"/>
      <c r="W94" s="708"/>
      <c r="X94" s="708"/>
      <c r="Y94" s="708"/>
      <c r="Z94" s="708"/>
      <c r="AA94" s="708"/>
      <c r="AB94" s="708"/>
      <c r="AC94" s="708"/>
      <c r="AD94" s="708"/>
      <c r="AE94" s="708"/>
      <c r="AF94" s="708"/>
      <c r="AG94" s="708"/>
      <c r="AH94" s="708"/>
      <c r="AI94" s="708"/>
      <c r="AJ94" s="708"/>
      <c r="AK94" s="708"/>
      <c r="AL94" s="708"/>
      <c r="AM94" s="708"/>
      <c r="AN94" s="708"/>
    </row>
    <row r="95" spans="11:40" x14ac:dyDescent="0.25">
      <c r="K95" s="707"/>
      <c r="L95" s="708"/>
      <c r="M95" s="708"/>
      <c r="N95" s="708"/>
      <c r="O95" s="708"/>
      <c r="P95" s="708"/>
      <c r="Q95" s="708"/>
      <c r="R95" s="708"/>
      <c r="S95" s="708"/>
      <c r="T95" s="708"/>
      <c r="U95" s="708"/>
      <c r="V95" s="708"/>
      <c r="W95" s="708"/>
      <c r="X95" s="708"/>
      <c r="Y95" s="708"/>
      <c r="Z95" s="708"/>
      <c r="AA95" s="708"/>
      <c r="AB95" s="708"/>
      <c r="AC95" s="708"/>
      <c r="AD95" s="708"/>
      <c r="AE95" s="708"/>
      <c r="AF95" s="708"/>
      <c r="AG95" s="708"/>
      <c r="AH95" s="708"/>
      <c r="AI95" s="708"/>
      <c r="AJ95" s="708"/>
      <c r="AK95" s="708"/>
      <c r="AL95" s="708"/>
      <c r="AM95" s="708"/>
      <c r="AN95" s="708"/>
    </row>
    <row r="96" spans="11:40" x14ac:dyDescent="0.25">
      <c r="K96" s="707"/>
      <c r="L96" s="708"/>
      <c r="M96" s="708"/>
      <c r="N96" s="708"/>
      <c r="O96" s="708"/>
      <c r="P96" s="708"/>
      <c r="Q96" s="708"/>
      <c r="R96" s="708"/>
      <c r="S96" s="708"/>
      <c r="T96" s="708"/>
      <c r="U96" s="708"/>
      <c r="V96" s="708"/>
      <c r="W96" s="708"/>
      <c r="X96" s="708"/>
      <c r="Y96" s="708"/>
      <c r="Z96" s="708"/>
      <c r="AA96" s="708"/>
      <c r="AB96" s="708"/>
      <c r="AC96" s="708"/>
      <c r="AD96" s="708"/>
      <c r="AE96" s="708"/>
      <c r="AF96" s="708"/>
      <c r="AG96" s="708"/>
      <c r="AH96" s="708"/>
      <c r="AI96" s="708"/>
      <c r="AJ96" s="708"/>
      <c r="AK96" s="708"/>
      <c r="AL96" s="708"/>
      <c r="AM96" s="708"/>
      <c r="AN96" s="708"/>
    </row>
    <row r="97" spans="11:40" x14ac:dyDescent="0.25">
      <c r="K97" s="707"/>
      <c r="L97" s="708"/>
      <c r="M97" s="708"/>
      <c r="N97" s="708"/>
      <c r="O97" s="708"/>
      <c r="P97" s="708"/>
      <c r="Q97" s="708"/>
      <c r="R97" s="708"/>
      <c r="S97" s="708"/>
      <c r="T97" s="708"/>
      <c r="U97" s="708"/>
      <c r="V97" s="708"/>
      <c r="W97" s="708"/>
      <c r="X97" s="708"/>
      <c r="Y97" s="708"/>
      <c r="Z97" s="708"/>
      <c r="AA97" s="708"/>
      <c r="AB97" s="708"/>
      <c r="AC97" s="708"/>
      <c r="AD97" s="708"/>
      <c r="AE97" s="708"/>
      <c r="AF97" s="708"/>
      <c r="AG97" s="708"/>
      <c r="AH97" s="708"/>
      <c r="AI97" s="708"/>
      <c r="AJ97" s="708"/>
      <c r="AK97" s="708"/>
      <c r="AL97" s="708"/>
      <c r="AM97" s="708"/>
      <c r="AN97" s="708"/>
    </row>
    <row r="98" spans="11:40" x14ac:dyDescent="0.25">
      <c r="K98" s="707"/>
      <c r="L98" s="708"/>
      <c r="M98" s="708"/>
      <c r="N98" s="708"/>
      <c r="O98" s="708"/>
      <c r="P98" s="708"/>
      <c r="Q98" s="708"/>
      <c r="R98" s="708"/>
      <c r="S98" s="708"/>
      <c r="T98" s="708"/>
      <c r="U98" s="708"/>
      <c r="V98" s="708"/>
      <c r="W98" s="708"/>
      <c r="X98" s="708"/>
      <c r="Y98" s="708"/>
      <c r="Z98" s="708"/>
      <c r="AA98" s="708"/>
      <c r="AB98" s="708"/>
      <c r="AC98" s="708"/>
      <c r="AD98" s="708"/>
      <c r="AE98" s="708"/>
      <c r="AF98" s="708"/>
      <c r="AG98" s="708"/>
      <c r="AH98" s="708"/>
      <c r="AI98" s="708"/>
      <c r="AJ98" s="708"/>
      <c r="AK98" s="708"/>
      <c r="AL98" s="708"/>
      <c r="AM98" s="708"/>
      <c r="AN98" s="708"/>
    </row>
    <row r="99" spans="11:40" x14ac:dyDescent="0.25">
      <c r="K99" s="707"/>
      <c r="L99" s="708"/>
      <c r="M99" s="708"/>
      <c r="N99" s="708"/>
      <c r="O99" s="708"/>
      <c r="P99" s="708"/>
      <c r="Q99" s="708"/>
      <c r="R99" s="708"/>
      <c r="S99" s="708"/>
      <c r="T99" s="708"/>
      <c r="U99" s="708"/>
      <c r="V99" s="708"/>
      <c r="W99" s="708"/>
      <c r="X99" s="708"/>
      <c r="Y99" s="708"/>
      <c r="Z99" s="708"/>
      <c r="AA99" s="708"/>
      <c r="AB99" s="708"/>
      <c r="AC99" s="708"/>
      <c r="AD99" s="708"/>
      <c r="AE99" s="708"/>
      <c r="AF99" s="708"/>
      <c r="AG99" s="708"/>
      <c r="AH99" s="708"/>
      <c r="AI99" s="708"/>
      <c r="AJ99" s="708"/>
      <c r="AK99" s="708"/>
      <c r="AL99" s="708"/>
      <c r="AM99" s="708"/>
      <c r="AN99" s="708"/>
    </row>
    <row r="100" spans="11:40" x14ac:dyDescent="0.25">
      <c r="K100" s="707"/>
      <c r="L100" s="708"/>
      <c r="M100" s="708"/>
      <c r="N100" s="708"/>
      <c r="O100" s="708"/>
      <c r="P100" s="708"/>
      <c r="Q100" s="708"/>
      <c r="R100" s="708"/>
      <c r="S100" s="708"/>
      <c r="T100" s="708"/>
      <c r="U100" s="708"/>
      <c r="V100" s="708"/>
      <c r="W100" s="708"/>
      <c r="X100" s="708"/>
      <c r="Y100" s="708"/>
      <c r="Z100" s="708"/>
      <c r="AA100" s="708"/>
      <c r="AB100" s="708"/>
      <c r="AC100" s="708"/>
      <c r="AD100" s="708"/>
      <c r="AE100" s="708"/>
      <c r="AF100" s="708"/>
      <c r="AG100" s="708"/>
      <c r="AH100" s="708"/>
      <c r="AI100" s="708"/>
      <c r="AJ100" s="708"/>
      <c r="AK100" s="708"/>
      <c r="AL100" s="708"/>
      <c r="AM100" s="708"/>
      <c r="AN100" s="708"/>
    </row>
    <row r="101" spans="11:40" x14ac:dyDescent="0.25">
      <c r="K101" s="707"/>
      <c r="L101" s="708"/>
      <c r="M101" s="708"/>
      <c r="N101" s="708"/>
      <c r="O101" s="708"/>
      <c r="P101" s="708"/>
      <c r="Q101" s="708"/>
      <c r="R101" s="708"/>
      <c r="S101" s="708"/>
      <c r="T101" s="708"/>
      <c r="U101" s="708"/>
      <c r="V101" s="708"/>
      <c r="W101" s="708"/>
      <c r="X101" s="708"/>
      <c r="Y101" s="708"/>
      <c r="Z101" s="708"/>
      <c r="AA101" s="708"/>
      <c r="AB101" s="708"/>
      <c r="AC101" s="708"/>
      <c r="AD101" s="708"/>
      <c r="AE101" s="708"/>
      <c r="AF101" s="708"/>
      <c r="AG101" s="708"/>
      <c r="AH101" s="708"/>
      <c r="AI101" s="708"/>
      <c r="AJ101" s="708"/>
      <c r="AK101" s="708"/>
      <c r="AL101" s="708"/>
      <c r="AM101" s="708"/>
      <c r="AN101" s="708"/>
    </row>
    <row r="102" spans="11:40" x14ac:dyDescent="0.25">
      <c r="K102" s="707"/>
      <c r="L102" s="708"/>
      <c r="M102" s="708"/>
      <c r="N102" s="708"/>
      <c r="O102" s="708"/>
      <c r="P102" s="708"/>
      <c r="Q102" s="708"/>
      <c r="R102" s="708"/>
      <c r="S102" s="708"/>
      <c r="T102" s="708"/>
      <c r="U102" s="708"/>
      <c r="V102" s="708"/>
      <c r="W102" s="708"/>
      <c r="X102" s="708"/>
      <c r="Y102" s="708"/>
      <c r="Z102" s="708"/>
      <c r="AA102" s="708"/>
      <c r="AB102" s="708"/>
      <c r="AC102" s="708"/>
      <c r="AD102" s="708"/>
      <c r="AE102" s="708"/>
      <c r="AF102" s="708"/>
      <c r="AG102" s="708"/>
      <c r="AH102" s="708"/>
      <c r="AI102" s="708"/>
      <c r="AJ102" s="708"/>
      <c r="AK102" s="708"/>
      <c r="AL102" s="708"/>
      <c r="AM102" s="708"/>
      <c r="AN102" s="708"/>
    </row>
    <row r="103" spans="11:40" x14ac:dyDescent="0.25">
      <c r="K103" s="707"/>
      <c r="L103" s="708"/>
      <c r="M103" s="708"/>
      <c r="N103" s="708"/>
      <c r="O103" s="708"/>
      <c r="P103" s="708"/>
      <c r="Q103" s="708"/>
      <c r="R103" s="708"/>
      <c r="S103" s="708"/>
      <c r="T103" s="708"/>
      <c r="U103" s="708"/>
      <c r="V103" s="708"/>
      <c r="W103" s="708"/>
      <c r="X103" s="708"/>
      <c r="Y103" s="708"/>
      <c r="Z103" s="708"/>
      <c r="AA103" s="708"/>
      <c r="AB103" s="708"/>
      <c r="AC103" s="708"/>
      <c r="AD103" s="708"/>
      <c r="AE103" s="708"/>
      <c r="AF103" s="708"/>
      <c r="AG103" s="708"/>
      <c r="AH103" s="708"/>
      <c r="AI103" s="708"/>
      <c r="AJ103" s="708"/>
      <c r="AK103" s="708"/>
      <c r="AL103" s="708"/>
      <c r="AM103" s="708"/>
      <c r="AN103" s="708"/>
    </row>
    <row r="104" spans="11:40" x14ac:dyDescent="0.25">
      <c r="K104" s="707"/>
      <c r="L104" s="708"/>
      <c r="M104" s="708"/>
      <c r="N104" s="708"/>
      <c r="O104" s="708"/>
      <c r="P104" s="708"/>
      <c r="Q104" s="708"/>
      <c r="R104" s="708"/>
      <c r="S104" s="708"/>
      <c r="T104" s="708"/>
      <c r="U104" s="708"/>
      <c r="V104" s="708"/>
      <c r="W104" s="708"/>
      <c r="X104" s="708"/>
      <c r="Y104" s="708"/>
      <c r="Z104" s="708"/>
      <c r="AA104" s="708"/>
      <c r="AB104" s="708"/>
      <c r="AC104" s="708"/>
      <c r="AD104" s="708"/>
      <c r="AE104" s="708"/>
      <c r="AF104" s="708"/>
      <c r="AG104" s="708"/>
      <c r="AH104" s="708"/>
      <c r="AI104" s="708"/>
      <c r="AJ104" s="708"/>
      <c r="AK104" s="708"/>
      <c r="AL104" s="708"/>
      <c r="AM104" s="708"/>
      <c r="AN104" s="708"/>
    </row>
    <row r="105" spans="11:40" x14ac:dyDescent="0.25">
      <c r="K105" s="707"/>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708"/>
      <c r="AL105" s="708"/>
      <c r="AM105" s="708"/>
      <c r="AN105" s="708"/>
    </row>
    <row r="106" spans="11:40" x14ac:dyDescent="0.25">
      <c r="K106" s="707"/>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K106" s="708"/>
      <c r="AL106" s="708"/>
      <c r="AM106" s="708"/>
      <c r="AN106" s="708"/>
    </row>
    <row r="107" spans="11:40" x14ac:dyDescent="0.25">
      <c r="K107" s="707"/>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c r="AG107" s="708"/>
      <c r="AH107" s="708"/>
      <c r="AI107" s="708"/>
      <c r="AJ107" s="708"/>
      <c r="AK107" s="708"/>
      <c r="AL107" s="708"/>
      <c r="AM107" s="708"/>
      <c r="AN107" s="708"/>
    </row>
    <row r="108" spans="11:40" x14ac:dyDescent="0.25">
      <c r="K108" s="707"/>
      <c r="L108" s="708"/>
      <c r="M108" s="708"/>
      <c r="N108" s="708"/>
      <c r="O108" s="708"/>
      <c r="P108" s="708"/>
      <c r="Q108" s="708"/>
      <c r="R108" s="708"/>
      <c r="S108" s="708"/>
      <c r="T108" s="708"/>
      <c r="U108" s="708"/>
      <c r="V108" s="708"/>
      <c r="W108" s="708"/>
      <c r="X108" s="708"/>
      <c r="Y108" s="708"/>
      <c r="Z108" s="708"/>
      <c r="AA108" s="708"/>
      <c r="AB108" s="708"/>
      <c r="AC108" s="708"/>
      <c r="AD108" s="708"/>
      <c r="AE108" s="708"/>
      <c r="AF108" s="708"/>
      <c r="AG108" s="708"/>
      <c r="AH108" s="708"/>
      <c r="AI108" s="708"/>
      <c r="AJ108" s="708"/>
      <c r="AK108" s="708"/>
      <c r="AL108" s="708"/>
      <c r="AM108" s="708"/>
      <c r="AN108" s="708"/>
    </row>
    <row r="109" spans="11:40" x14ac:dyDescent="0.25">
      <c r="K109" s="707"/>
      <c r="L109" s="708"/>
      <c r="M109" s="708"/>
      <c r="N109" s="708"/>
      <c r="O109" s="708"/>
      <c r="P109" s="708"/>
      <c r="Q109" s="708"/>
      <c r="R109" s="708"/>
      <c r="S109" s="708"/>
      <c r="T109" s="708"/>
      <c r="U109" s="708"/>
      <c r="V109" s="708"/>
      <c r="W109" s="708"/>
      <c r="X109" s="708"/>
      <c r="Y109" s="708"/>
      <c r="Z109" s="708"/>
      <c r="AA109" s="708"/>
      <c r="AB109" s="708"/>
      <c r="AC109" s="708"/>
      <c r="AD109" s="708"/>
      <c r="AE109" s="708"/>
      <c r="AF109" s="708"/>
      <c r="AG109" s="708"/>
      <c r="AH109" s="708"/>
      <c r="AI109" s="708"/>
      <c r="AJ109" s="708"/>
      <c r="AK109" s="708"/>
      <c r="AL109" s="708"/>
      <c r="AM109" s="708"/>
      <c r="AN109" s="708"/>
    </row>
    <row r="110" spans="11:40" x14ac:dyDescent="0.25">
      <c r="K110" s="707"/>
      <c r="L110" s="708"/>
      <c r="M110" s="708"/>
      <c r="N110" s="708"/>
      <c r="O110" s="708"/>
      <c r="P110" s="708"/>
      <c r="Q110" s="708"/>
      <c r="R110" s="708"/>
      <c r="S110" s="708"/>
      <c r="T110" s="708"/>
      <c r="U110" s="708"/>
      <c r="V110" s="708"/>
      <c r="W110" s="708"/>
      <c r="X110" s="708"/>
      <c r="Y110" s="708"/>
      <c r="Z110" s="708"/>
      <c r="AA110" s="708"/>
      <c r="AB110" s="708"/>
      <c r="AC110" s="708"/>
      <c r="AD110" s="708"/>
      <c r="AE110" s="708"/>
      <c r="AF110" s="708"/>
      <c r="AG110" s="708"/>
      <c r="AH110" s="708"/>
      <c r="AI110" s="708"/>
      <c r="AJ110" s="708"/>
      <c r="AK110" s="708"/>
      <c r="AL110" s="708"/>
      <c r="AM110" s="708"/>
      <c r="AN110" s="708"/>
    </row>
    <row r="111" spans="11:40" x14ac:dyDescent="0.25">
      <c r="K111" s="707"/>
      <c r="L111" s="708"/>
      <c r="M111" s="708"/>
      <c r="N111" s="708"/>
      <c r="O111" s="708"/>
      <c r="P111" s="708"/>
      <c r="Q111" s="708"/>
      <c r="R111" s="708"/>
      <c r="S111" s="708"/>
      <c r="T111" s="708"/>
      <c r="U111" s="708"/>
      <c r="V111" s="708"/>
      <c r="W111" s="708"/>
      <c r="X111" s="708"/>
      <c r="Y111" s="708"/>
      <c r="Z111" s="708"/>
      <c r="AA111" s="708"/>
      <c r="AB111" s="708"/>
      <c r="AC111" s="708"/>
      <c r="AD111" s="708"/>
      <c r="AE111" s="708"/>
      <c r="AF111" s="708"/>
      <c r="AG111" s="708"/>
      <c r="AH111" s="708"/>
      <c r="AI111" s="708"/>
      <c r="AJ111" s="708"/>
      <c r="AK111" s="708"/>
      <c r="AL111" s="708"/>
      <c r="AM111" s="708"/>
      <c r="AN111" s="708"/>
    </row>
    <row r="112" spans="11:40" x14ac:dyDescent="0.25">
      <c r="K112" s="707"/>
      <c r="L112" s="708"/>
      <c r="M112" s="708"/>
      <c r="N112" s="708"/>
      <c r="O112" s="708"/>
      <c r="P112" s="708"/>
      <c r="Q112" s="708"/>
      <c r="R112" s="708"/>
      <c r="S112" s="708"/>
      <c r="T112" s="708"/>
      <c r="U112" s="708"/>
      <c r="V112" s="708"/>
      <c r="W112" s="708"/>
      <c r="X112" s="708"/>
      <c r="Y112" s="708"/>
      <c r="Z112" s="708"/>
      <c r="AA112" s="708"/>
      <c r="AB112" s="708"/>
      <c r="AC112" s="708"/>
      <c r="AD112" s="708"/>
      <c r="AE112" s="708"/>
      <c r="AF112" s="708"/>
      <c r="AG112" s="708"/>
      <c r="AH112" s="708"/>
      <c r="AI112" s="708"/>
      <c r="AJ112" s="708"/>
      <c r="AK112" s="708"/>
      <c r="AL112" s="708"/>
      <c r="AM112" s="708"/>
      <c r="AN112" s="708"/>
    </row>
    <row r="113" spans="11:40" x14ac:dyDescent="0.25">
      <c r="K113" s="707"/>
      <c r="L113" s="708"/>
      <c r="M113" s="708"/>
      <c r="N113" s="708"/>
      <c r="O113" s="708"/>
      <c r="P113" s="708"/>
      <c r="Q113" s="708"/>
      <c r="R113" s="708"/>
      <c r="S113" s="708"/>
      <c r="T113" s="708"/>
      <c r="U113" s="708"/>
      <c r="V113" s="708"/>
      <c r="W113" s="708"/>
      <c r="X113" s="708"/>
      <c r="Y113" s="708"/>
      <c r="Z113" s="708"/>
      <c r="AA113" s="708"/>
      <c r="AB113" s="708"/>
      <c r="AC113" s="708"/>
      <c r="AD113" s="708"/>
      <c r="AE113" s="708"/>
      <c r="AF113" s="708"/>
      <c r="AG113" s="708"/>
      <c r="AH113" s="708"/>
      <c r="AI113" s="708"/>
      <c r="AJ113" s="708"/>
      <c r="AK113" s="708"/>
      <c r="AL113" s="708"/>
      <c r="AM113" s="708"/>
      <c r="AN113" s="708"/>
    </row>
    <row r="114" spans="11:40" x14ac:dyDescent="0.25">
      <c r="K114" s="707"/>
      <c r="L114" s="708"/>
      <c r="M114" s="708"/>
      <c r="N114" s="708"/>
      <c r="O114" s="708"/>
      <c r="P114" s="708"/>
      <c r="Q114" s="708"/>
      <c r="R114" s="708"/>
      <c r="S114" s="708"/>
      <c r="T114" s="708"/>
      <c r="U114" s="708"/>
      <c r="V114" s="708"/>
      <c r="W114" s="708"/>
      <c r="X114" s="708"/>
      <c r="Y114" s="708"/>
      <c r="Z114" s="708"/>
      <c r="AA114" s="708"/>
      <c r="AB114" s="708"/>
      <c r="AC114" s="708"/>
      <c r="AD114" s="708"/>
      <c r="AE114" s="708"/>
      <c r="AF114" s="708"/>
      <c r="AG114" s="708"/>
      <c r="AH114" s="708"/>
      <c r="AI114" s="708"/>
      <c r="AJ114" s="708"/>
      <c r="AK114" s="708"/>
      <c r="AL114" s="708"/>
      <c r="AM114" s="708"/>
      <c r="AN114" s="708"/>
    </row>
    <row r="115" spans="11:40" x14ac:dyDescent="0.25">
      <c r="K115" s="707"/>
      <c r="L115" s="708"/>
      <c r="M115" s="708"/>
      <c r="N115" s="708"/>
      <c r="O115" s="708"/>
      <c r="P115" s="708"/>
      <c r="Q115" s="708"/>
      <c r="R115" s="708"/>
      <c r="S115" s="708"/>
      <c r="T115" s="708"/>
      <c r="U115" s="708"/>
      <c r="V115" s="708"/>
      <c r="W115" s="708"/>
      <c r="X115" s="708"/>
      <c r="Y115" s="708"/>
      <c r="Z115" s="708"/>
      <c r="AA115" s="708"/>
      <c r="AB115" s="708"/>
      <c r="AC115" s="708"/>
      <c r="AD115" s="708"/>
      <c r="AE115" s="708"/>
      <c r="AF115" s="708"/>
      <c r="AG115" s="708"/>
      <c r="AH115" s="708"/>
      <c r="AI115" s="708"/>
      <c r="AJ115" s="708"/>
      <c r="AK115" s="708"/>
      <c r="AL115" s="708"/>
      <c r="AM115" s="708"/>
      <c r="AN115" s="708"/>
    </row>
    <row r="116" spans="11:40" x14ac:dyDescent="0.25">
      <c r="K116" s="707"/>
      <c r="L116" s="708"/>
      <c r="M116" s="708"/>
      <c r="N116" s="708"/>
      <c r="O116" s="708"/>
      <c r="P116" s="708"/>
      <c r="Q116" s="708"/>
      <c r="R116" s="708"/>
      <c r="S116" s="708"/>
      <c r="T116" s="708"/>
      <c r="U116" s="708"/>
      <c r="V116" s="708"/>
      <c r="W116" s="708"/>
      <c r="X116" s="708"/>
      <c r="Y116" s="708"/>
      <c r="Z116" s="708"/>
      <c r="AA116" s="708"/>
      <c r="AB116" s="708"/>
      <c r="AC116" s="708"/>
      <c r="AD116" s="708"/>
      <c r="AE116" s="708"/>
      <c r="AF116" s="708"/>
      <c r="AG116" s="708"/>
      <c r="AH116" s="708"/>
      <c r="AI116" s="708"/>
      <c r="AJ116" s="708"/>
      <c r="AK116" s="708"/>
      <c r="AL116" s="708"/>
      <c r="AM116" s="708"/>
      <c r="AN116" s="708"/>
    </row>
    <row r="117" spans="11:40" x14ac:dyDescent="0.25">
      <c r="K117" s="707"/>
      <c r="L117" s="708"/>
      <c r="M117" s="708"/>
      <c r="N117" s="708"/>
      <c r="O117" s="708"/>
      <c r="P117" s="708"/>
      <c r="Q117" s="708"/>
      <c r="R117" s="708"/>
      <c r="S117" s="708"/>
      <c r="T117" s="708"/>
      <c r="U117" s="708"/>
      <c r="V117" s="708"/>
      <c r="W117" s="708"/>
      <c r="X117" s="708"/>
      <c r="Y117" s="708"/>
      <c r="Z117" s="708"/>
      <c r="AA117" s="708"/>
      <c r="AB117" s="708"/>
      <c r="AC117" s="708"/>
      <c r="AD117" s="708"/>
      <c r="AE117" s="708"/>
      <c r="AF117" s="708"/>
      <c r="AG117" s="708"/>
      <c r="AH117" s="708"/>
      <c r="AI117" s="708"/>
      <c r="AJ117" s="708"/>
      <c r="AK117" s="708"/>
      <c r="AL117" s="708"/>
      <c r="AM117" s="708"/>
      <c r="AN117" s="708"/>
    </row>
    <row r="118" spans="11:40" x14ac:dyDescent="0.25">
      <c r="K118" s="707"/>
      <c r="L118" s="708"/>
      <c r="M118" s="708"/>
      <c r="N118" s="708"/>
      <c r="O118" s="708"/>
      <c r="P118" s="708"/>
      <c r="Q118" s="708"/>
      <c r="R118" s="708"/>
      <c r="S118" s="708"/>
      <c r="T118" s="708"/>
      <c r="U118" s="708"/>
      <c r="V118" s="708"/>
      <c r="W118" s="708"/>
      <c r="X118" s="708"/>
      <c r="Y118" s="708"/>
      <c r="Z118" s="708"/>
      <c r="AA118" s="708"/>
      <c r="AB118" s="708"/>
      <c r="AC118" s="708"/>
      <c r="AD118" s="708"/>
      <c r="AE118" s="708"/>
      <c r="AF118" s="708"/>
      <c r="AG118" s="708"/>
      <c r="AH118" s="708"/>
      <c r="AI118" s="708"/>
      <c r="AJ118" s="708"/>
      <c r="AK118" s="708"/>
      <c r="AL118" s="708"/>
      <c r="AM118" s="708"/>
      <c r="AN118" s="708"/>
    </row>
  </sheetData>
  <sheetProtection sheet="1" objects="1" scenarios="1"/>
  <customSheetViews>
    <customSheetView guid="{F50C5479-5CC4-4FD7-8319-543D29E829F0}" showGridLines="0" fitToPage="1">
      <pane xSplit="2" ySplit="4" topLeftCell="C25" activePane="bottomRight" state="frozen"/>
      <selection pane="bottomRight" activeCell="H22" sqref="H22:H29"/>
      <pageMargins left="0" right="0" top="0.78740157480314965" bottom="0.59055118110236227" header="0.51181102362204722" footer="0.51181102362204722"/>
      <printOptions horizontalCentered="1"/>
      <pageSetup paperSize="9" scale="81" orientation="portrait" r:id="rId1"/>
      <headerFooter alignWithMargins="0"/>
    </customSheetView>
  </customSheetViews>
  <mergeCells count="3">
    <mergeCell ref="B2:B4"/>
    <mergeCell ref="F2:H2"/>
    <mergeCell ref="A2:A3"/>
  </mergeCells>
  <phoneticPr fontId="2" type="noConversion"/>
  <printOptions horizontalCentered="1"/>
  <pageMargins left="0" right="0" top="0.78740157480314965" bottom="0.59055118110236227" header="0.51181102362204722" footer="0.51181102362204722"/>
  <pageSetup paperSize="9" scale="81" orientation="portrait"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42"/>
    <pageSetUpPr fitToPage="1"/>
  </sheetPr>
  <dimension ref="A1:O70"/>
  <sheetViews>
    <sheetView showGridLines="0" zoomScaleNormal="100" workbookViewId="0">
      <pane xSplit="2" ySplit="4" topLeftCell="C5" activePane="bottomRight" state="frozen"/>
      <selection activeCell="F35" sqref="F35"/>
      <selection pane="topRight" activeCell="F35" sqref="F35"/>
      <selection pane="bottomLeft" activeCell="F35" sqref="F35"/>
      <selection pane="bottomRight" activeCell="F1" sqref="F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"&amp;TableA15</f>
        <v>MP315 Thembisile Hani - Supporting Table SA15 Investment particulars by type</v>
      </c>
      <c r="B1" s="147"/>
      <c r="C1" s="147"/>
      <c r="D1" s="147"/>
      <c r="E1" s="147"/>
      <c r="F1" s="147"/>
      <c r="G1" s="147"/>
      <c r="H1" s="147"/>
      <c r="I1" s="147"/>
      <c r="J1" s="147"/>
      <c r="K1" s="147"/>
    </row>
    <row r="2" spans="1:11" ht="28.5" customHeight="1" x14ac:dyDescent="0.25">
      <c r="A2" s="2822" t="s">
        <v>583</v>
      </c>
      <c r="B2" s="2793" t="str">
        <f>head27</f>
        <v>Ref</v>
      </c>
      <c r="C2" s="145"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2823"/>
      <c r="B3" s="2794"/>
      <c r="C3" s="154" t="str">
        <f>Head5</f>
        <v>Audited Outcome</v>
      </c>
      <c r="D3" s="152" t="str">
        <f>Head5</f>
        <v>Audited Outcome</v>
      </c>
      <c r="E3" s="153" t="str">
        <f>Head5</f>
        <v>Audited Outcome</v>
      </c>
      <c r="F3" s="151" t="str">
        <f>Head6</f>
        <v>Original Budget</v>
      </c>
      <c r="G3" s="152" t="str">
        <f>Head7</f>
        <v>Adjusted Budget</v>
      </c>
      <c r="H3" s="153" t="str">
        <f>Head8</f>
        <v>Full Year Forecast</v>
      </c>
      <c r="I3" s="151" t="str">
        <f>Head9</f>
        <v>Budget Year 2015/16</v>
      </c>
      <c r="J3" s="152" t="str">
        <f>Head10</f>
        <v>Budget Year +1 2016/17</v>
      </c>
      <c r="K3" s="153" t="str">
        <f>Head11</f>
        <v>Budget Year +2 2017/18</v>
      </c>
    </row>
    <row r="4" spans="1:11" x14ac:dyDescent="0.25">
      <c r="A4" s="180" t="s">
        <v>662</v>
      </c>
      <c r="B4" s="2799"/>
      <c r="C4" s="138"/>
      <c r="D4" s="138"/>
      <c r="E4" s="156"/>
      <c r="F4" s="155"/>
      <c r="G4" s="138"/>
      <c r="H4" s="156"/>
      <c r="I4" s="155"/>
      <c r="J4" s="138"/>
      <c r="K4" s="156"/>
    </row>
    <row r="5" spans="1:11" x14ac:dyDescent="0.25">
      <c r="A5" s="249" t="s">
        <v>178</v>
      </c>
      <c r="B5" s="291"/>
      <c r="C5" s="709"/>
      <c r="D5" s="709"/>
      <c r="E5" s="710"/>
      <c r="F5" s="711"/>
      <c r="G5" s="709"/>
      <c r="H5" s="712"/>
      <c r="I5" s="713"/>
      <c r="J5" s="709"/>
      <c r="K5" s="710"/>
    </row>
    <row r="6" spans="1:11" ht="11.25" customHeight="1" x14ac:dyDescent="0.25">
      <c r="A6" s="250" t="s">
        <v>1557</v>
      </c>
      <c r="B6" s="293"/>
      <c r="C6" s="1909"/>
      <c r="D6" s="1909"/>
      <c r="E6" s="1910"/>
      <c r="F6" s="1911"/>
      <c r="G6" s="1909"/>
      <c r="H6" s="1912"/>
      <c r="I6" s="1913"/>
      <c r="J6" s="1909"/>
      <c r="K6" s="1910"/>
    </row>
    <row r="7" spans="1:11" ht="11.25" customHeight="1" x14ac:dyDescent="0.25">
      <c r="A7" s="250" t="s">
        <v>1558</v>
      </c>
      <c r="B7" s="293"/>
      <c r="C7" s="1909"/>
      <c r="D7" s="1909"/>
      <c r="E7" s="1910"/>
      <c r="F7" s="1911"/>
      <c r="G7" s="1909"/>
      <c r="H7" s="1912"/>
      <c r="I7" s="1913"/>
      <c r="J7" s="1909"/>
      <c r="K7" s="1910"/>
    </row>
    <row r="8" spans="1:11" ht="11.25" customHeight="1" x14ac:dyDescent="0.25">
      <c r="A8" s="250" t="s">
        <v>1560</v>
      </c>
      <c r="B8" s="293"/>
      <c r="C8" s="1909"/>
      <c r="D8" s="1909"/>
      <c r="E8" s="1910"/>
      <c r="F8" s="1911"/>
      <c r="G8" s="1909"/>
      <c r="H8" s="1912"/>
      <c r="I8" s="1913"/>
      <c r="J8" s="1909"/>
      <c r="K8" s="1910"/>
    </row>
    <row r="9" spans="1:11" ht="11.25" customHeight="1" x14ac:dyDescent="0.25">
      <c r="A9" s="250" t="s">
        <v>1559</v>
      </c>
      <c r="B9" s="293"/>
      <c r="C9" s="1909"/>
      <c r="D9" s="1909"/>
      <c r="E9" s="1910"/>
      <c r="F9" s="1911"/>
      <c r="G9" s="1909"/>
      <c r="H9" s="1912"/>
      <c r="I9" s="1913"/>
      <c r="J9" s="1909"/>
      <c r="K9" s="1910"/>
    </row>
    <row r="10" spans="1:11" ht="11.25" customHeight="1" x14ac:dyDescent="0.25">
      <c r="A10" s="250" t="s">
        <v>1561</v>
      </c>
      <c r="B10" s="293"/>
      <c r="C10" s="1909"/>
      <c r="D10" s="1909"/>
      <c r="E10" s="1910"/>
      <c r="F10" s="1911"/>
      <c r="G10" s="1909"/>
      <c r="H10" s="1912"/>
      <c r="I10" s="1913"/>
      <c r="J10" s="1909"/>
      <c r="K10" s="1910"/>
    </row>
    <row r="11" spans="1:11" ht="11.25" customHeight="1" x14ac:dyDescent="0.25">
      <c r="A11" s="250" t="s">
        <v>1562</v>
      </c>
      <c r="B11" s="293"/>
      <c r="C11" s="1909"/>
      <c r="D11" s="1909"/>
      <c r="E11" s="1910"/>
      <c r="F11" s="1911"/>
      <c r="G11" s="1909"/>
      <c r="H11" s="1912"/>
      <c r="I11" s="1913"/>
      <c r="J11" s="1909"/>
      <c r="K11" s="1910"/>
    </row>
    <row r="12" spans="1:11" ht="11.25" customHeight="1" x14ac:dyDescent="0.25">
      <c r="A12" s="250" t="s">
        <v>1563</v>
      </c>
      <c r="B12" s="293"/>
      <c r="C12" s="1909"/>
      <c r="D12" s="1909"/>
      <c r="E12" s="1910"/>
      <c r="F12" s="1911"/>
      <c r="G12" s="1909"/>
      <c r="H12" s="1912"/>
      <c r="I12" s="1913"/>
      <c r="J12" s="1909"/>
      <c r="K12" s="1910"/>
    </row>
    <row r="13" spans="1:11" ht="11.25" customHeight="1" x14ac:dyDescent="0.25">
      <c r="A13" s="250" t="s">
        <v>1564</v>
      </c>
      <c r="B13" s="293"/>
      <c r="C13" s="1909"/>
      <c r="D13" s="1909"/>
      <c r="E13" s="1910"/>
      <c r="F13" s="1911"/>
      <c r="G13" s="1909"/>
      <c r="H13" s="1912"/>
      <c r="I13" s="1913"/>
      <c r="J13" s="1909"/>
      <c r="K13" s="1910"/>
    </row>
    <row r="14" spans="1:11" ht="11.25" customHeight="1" x14ac:dyDescent="0.25">
      <c r="A14" s="250" t="s">
        <v>1565</v>
      </c>
      <c r="B14" s="293"/>
      <c r="C14" s="1909"/>
      <c r="D14" s="1909"/>
      <c r="E14" s="1910"/>
      <c r="F14" s="1911"/>
      <c r="G14" s="1909"/>
      <c r="H14" s="1912"/>
      <c r="I14" s="1913"/>
      <c r="J14" s="1909"/>
      <c r="K14" s="1910"/>
    </row>
    <row r="15" spans="1:11" ht="11.25" customHeight="1" x14ac:dyDescent="0.25">
      <c r="A15" s="250" t="s">
        <v>1566</v>
      </c>
      <c r="B15" s="293"/>
      <c r="C15" s="1909"/>
      <c r="D15" s="1909"/>
      <c r="E15" s="1910"/>
      <c r="F15" s="1911"/>
      <c r="G15" s="1909"/>
      <c r="H15" s="1912"/>
      <c r="I15" s="1913"/>
      <c r="J15" s="1909"/>
      <c r="K15" s="1910"/>
    </row>
    <row r="16" spans="1:11" ht="5.0999999999999996" customHeight="1" x14ac:dyDescent="0.25">
      <c r="A16" s="273"/>
      <c r="B16" s="293"/>
      <c r="C16" s="1066"/>
      <c r="D16" s="1066"/>
      <c r="E16" s="1067"/>
      <c r="F16" s="1068"/>
      <c r="G16" s="1066"/>
      <c r="H16" s="1069"/>
      <c r="I16" s="1070"/>
      <c r="J16" s="1066"/>
      <c r="K16" s="1067"/>
    </row>
    <row r="17" spans="1:11" ht="11.25" customHeight="1" x14ac:dyDescent="0.25">
      <c r="A17" s="265" t="s">
        <v>177</v>
      </c>
      <c r="B17" s="293">
        <v>1</v>
      </c>
      <c r="C17" s="716">
        <f t="shared" ref="C17:K17" si="0">SUM(C6:C15)</f>
        <v>0</v>
      </c>
      <c r="D17" s="716">
        <f t="shared" si="0"/>
        <v>0</v>
      </c>
      <c r="E17" s="717">
        <f t="shared" si="0"/>
        <v>0</v>
      </c>
      <c r="F17" s="718">
        <f t="shared" si="0"/>
        <v>0</v>
      </c>
      <c r="G17" s="716">
        <f t="shared" si="0"/>
        <v>0</v>
      </c>
      <c r="H17" s="719">
        <f t="shared" si="0"/>
        <v>0</v>
      </c>
      <c r="I17" s="720">
        <f t="shared" si="0"/>
        <v>0</v>
      </c>
      <c r="J17" s="716">
        <f t="shared" si="0"/>
        <v>0</v>
      </c>
      <c r="K17" s="717">
        <f t="shared" si="0"/>
        <v>0</v>
      </c>
    </row>
    <row r="18" spans="1:11" ht="5.0999999999999996" customHeight="1" x14ac:dyDescent="0.25">
      <c r="A18" s="273"/>
      <c r="B18" s="293"/>
      <c r="C18" s="714"/>
      <c r="D18" s="714"/>
      <c r="E18" s="710"/>
      <c r="F18" s="711"/>
      <c r="G18" s="714"/>
      <c r="H18" s="712"/>
      <c r="I18" s="715"/>
      <c r="J18" s="714"/>
      <c r="K18" s="710"/>
    </row>
    <row r="19" spans="1:11" ht="11.25" customHeight="1" x14ac:dyDescent="0.25">
      <c r="A19" s="249" t="s">
        <v>675</v>
      </c>
      <c r="B19" s="293"/>
      <c r="C19" s="714"/>
      <c r="D19" s="714"/>
      <c r="E19" s="710"/>
      <c r="F19" s="711"/>
      <c r="G19" s="714"/>
      <c r="H19" s="712"/>
      <c r="I19" s="715"/>
      <c r="J19" s="714"/>
      <c r="K19" s="710"/>
    </row>
    <row r="20" spans="1:11" ht="11.25" customHeight="1" x14ac:dyDescent="0.25">
      <c r="A20" s="250" t="str">
        <f>A6</f>
        <v>Securities - National Government</v>
      </c>
      <c r="B20" s="293"/>
      <c r="C20" s="1909"/>
      <c r="D20" s="1909"/>
      <c r="E20" s="1910"/>
      <c r="F20" s="1911"/>
      <c r="G20" s="1909"/>
      <c r="H20" s="1912"/>
      <c r="I20" s="1913"/>
      <c r="J20" s="1909"/>
      <c r="K20" s="1910"/>
    </row>
    <row r="21" spans="1:11" ht="11.25" customHeight="1" x14ac:dyDescent="0.25">
      <c r="A21" s="250" t="str">
        <f t="shared" ref="A21:A28" si="1">A7</f>
        <v>Listed Corporate Bonds</v>
      </c>
      <c r="B21" s="293"/>
      <c r="C21" s="1909"/>
      <c r="D21" s="1909"/>
      <c r="E21" s="1910"/>
      <c r="F21" s="1911"/>
      <c r="G21" s="1909"/>
      <c r="H21" s="1912"/>
      <c r="I21" s="1913"/>
      <c r="J21" s="1909"/>
      <c r="K21" s="1910"/>
    </row>
    <row r="22" spans="1:11" ht="11.25" customHeight="1" x14ac:dyDescent="0.25">
      <c r="A22" s="250" t="str">
        <f t="shared" si="1"/>
        <v>Deposits - Bank</v>
      </c>
      <c r="B22" s="293"/>
      <c r="C22" s="1909"/>
      <c r="D22" s="1909"/>
      <c r="E22" s="1910"/>
      <c r="F22" s="1911"/>
      <c r="G22" s="1909"/>
      <c r="H22" s="1912"/>
      <c r="I22" s="1913"/>
      <c r="J22" s="1909"/>
      <c r="K22" s="1910"/>
    </row>
    <row r="23" spans="1:11" ht="11.25" customHeight="1" x14ac:dyDescent="0.25">
      <c r="A23" s="250" t="str">
        <f t="shared" si="1"/>
        <v>Deposits - Public Investment Commissioners</v>
      </c>
      <c r="B23" s="293"/>
      <c r="C23" s="1909"/>
      <c r="D23" s="1909"/>
      <c r="E23" s="1910"/>
      <c r="F23" s="1911"/>
      <c r="G23" s="1909"/>
      <c r="H23" s="1912"/>
      <c r="I23" s="1913"/>
      <c r="J23" s="1909"/>
      <c r="K23" s="1910"/>
    </row>
    <row r="24" spans="1:11" ht="11.25" customHeight="1" x14ac:dyDescent="0.25">
      <c r="A24" s="250" t="str">
        <f t="shared" si="1"/>
        <v>Deposits - Corporation for Public Deposits</v>
      </c>
      <c r="B24" s="293"/>
      <c r="C24" s="1909"/>
      <c r="D24" s="1909"/>
      <c r="E24" s="1910"/>
      <c r="F24" s="1911"/>
      <c r="G24" s="1909"/>
      <c r="H24" s="1912"/>
      <c r="I24" s="1913"/>
      <c r="J24" s="1909"/>
      <c r="K24" s="1910"/>
    </row>
    <row r="25" spans="1:11" ht="11.25" customHeight="1" x14ac:dyDescent="0.25">
      <c r="A25" s="250" t="str">
        <f t="shared" si="1"/>
        <v>Bankers Acceptance Certificates</v>
      </c>
      <c r="B25" s="293"/>
      <c r="C25" s="1909"/>
      <c r="D25" s="1909"/>
      <c r="E25" s="1910"/>
      <c r="F25" s="1911"/>
      <c r="G25" s="1909"/>
      <c r="H25" s="1912"/>
      <c r="I25" s="1913"/>
      <c r="J25" s="1909"/>
      <c r="K25" s="1910"/>
    </row>
    <row r="26" spans="1:11" ht="11.25" customHeight="1" x14ac:dyDescent="0.25">
      <c r="A26" s="250" t="str">
        <f t="shared" si="1"/>
        <v>Negotiable Certificates of Deposit - Banks</v>
      </c>
      <c r="B26" s="293"/>
      <c r="C26" s="1909"/>
      <c r="D26" s="1909"/>
      <c r="E26" s="1910"/>
      <c r="F26" s="1911"/>
      <c r="G26" s="1909"/>
      <c r="H26" s="1912"/>
      <c r="I26" s="1913"/>
      <c r="J26" s="1909"/>
      <c r="K26" s="1910"/>
    </row>
    <row r="27" spans="1:11" ht="11.25" customHeight="1" x14ac:dyDescent="0.25">
      <c r="A27" s="250" t="str">
        <f t="shared" si="1"/>
        <v>Guaranteed Endowment Policies (sinking)</v>
      </c>
      <c r="B27" s="293"/>
      <c r="C27" s="1909"/>
      <c r="D27" s="1909"/>
      <c r="E27" s="1910"/>
      <c r="F27" s="1911"/>
      <c r="G27" s="1909"/>
      <c r="H27" s="1912"/>
      <c r="I27" s="1913"/>
      <c r="J27" s="1909"/>
      <c r="K27" s="1910"/>
    </row>
    <row r="28" spans="1:11" ht="11.25" customHeight="1" x14ac:dyDescent="0.25">
      <c r="A28" s="250" t="str">
        <f t="shared" si="1"/>
        <v>Repurchase Agreements - Banks</v>
      </c>
      <c r="B28" s="293"/>
      <c r="C28" s="1909"/>
      <c r="D28" s="1909"/>
      <c r="E28" s="1910"/>
      <c r="F28" s="1911"/>
      <c r="G28" s="1909"/>
      <c r="H28" s="1912"/>
      <c r="I28" s="1913"/>
      <c r="J28" s="1909"/>
      <c r="K28" s="1910"/>
    </row>
    <row r="29" spans="1:11" ht="5.0999999999999996" customHeight="1" x14ac:dyDescent="0.25">
      <c r="A29" s="273"/>
      <c r="B29" s="293"/>
      <c r="C29" s="714"/>
      <c r="D29" s="714"/>
      <c r="E29" s="710"/>
      <c r="F29" s="711"/>
      <c r="G29" s="714"/>
      <c r="H29" s="712"/>
      <c r="I29" s="715"/>
      <c r="J29" s="714"/>
      <c r="K29" s="710"/>
    </row>
    <row r="30" spans="1:11" ht="11.25" customHeight="1" x14ac:dyDescent="0.25">
      <c r="A30" s="265" t="s">
        <v>176</v>
      </c>
      <c r="B30" s="293"/>
      <c r="C30" s="716">
        <f t="shared" ref="C30:K30" si="2">SUM(C20:C29)</f>
        <v>0</v>
      </c>
      <c r="D30" s="721">
        <f t="shared" si="2"/>
        <v>0</v>
      </c>
      <c r="E30" s="722">
        <f t="shared" si="2"/>
        <v>0</v>
      </c>
      <c r="F30" s="723">
        <f t="shared" si="2"/>
        <v>0</v>
      </c>
      <c r="G30" s="721">
        <f t="shared" si="2"/>
        <v>0</v>
      </c>
      <c r="H30" s="724">
        <f t="shared" si="2"/>
        <v>0</v>
      </c>
      <c r="I30" s="725">
        <f t="shared" si="2"/>
        <v>0</v>
      </c>
      <c r="J30" s="721">
        <f t="shared" si="2"/>
        <v>0</v>
      </c>
      <c r="K30" s="722">
        <f t="shared" si="2"/>
        <v>0</v>
      </c>
    </row>
    <row r="31" spans="1:11" ht="5.0999999999999996" customHeight="1" x14ac:dyDescent="0.25">
      <c r="A31" s="273"/>
      <c r="B31" s="293"/>
      <c r="C31" s="714"/>
      <c r="D31" s="714"/>
      <c r="E31" s="710"/>
      <c r="F31" s="711"/>
      <c r="G31" s="714"/>
      <c r="H31" s="712"/>
      <c r="I31" s="715"/>
      <c r="J31" s="714"/>
      <c r="K31" s="710"/>
    </row>
    <row r="32" spans="1:11" x14ac:dyDescent="0.25">
      <c r="A32" s="281" t="s">
        <v>175</v>
      </c>
      <c r="B32" s="726"/>
      <c r="C32" s="727">
        <f t="shared" ref="C32:K32" si="3">C17+C30</f>
        <v>0</v>
      </c>
      <c r="D32" s="727">
        <f t="shared" si="3"/>
        <v>0</v>
      </c>
      <c r="E32" s="728">
        <f t="shared" si="3"/>
        <v>0</v>
      </c>
      <c r="F32" s="729">
        <f t="shared" si="3"/>
        <v>0</v>
      </c>
      <c r="G32" s="727">
        <f t="shared" si="3"/>
        <v>0</v>
      </c>
      <c r="H32" s="730">
        <f t="shared" si="3"/>
        <v>0</v>
      </c>
      <c r="I32" s="731">
        <f t="shared" si="3"/>
        <v>0</v>
      </c>
      <c r="J32" s="727">
        <f t="shared" si="3"/>
        <v>0</v>
      </c>
      <c r="K32" s="728">
        <f t="shared" si="3"/>
        <v>0</v>
      </c>
    </row>
    <row r="33" spans="1:15" ht="6" customHeight="1" x14ac:dyDescent="0.25">
      <c r="A33" s="652"/>
      <c r="B33" s="236"/>
      <c r="C33" s="309"/>
      <c r="D33" s="309"/>
      <c r="E33" s="309"/>
      <c r="F33" s="309"/>
      <c r="G33" s="309"/>
      <c r="H33" s="309"/>
      <c r="I33" s="309"/>
      <c r="J33" s="309"/>
      <c r="K33" s="309"/>
      <c r="L33" s="246"/>
      <c r="M33" s="246"/>
      <c r="N33" s="246"/>
    </row>
    <row r="34" spans="1:15" s="708" customFormat="1" ht="10.5" customHeight="1" x14ac:dyDescent="0.25">
      <c r="A34" s="1257" t="str">
        <f>head27a</f>
        <v>References</v>
      </c>
      <c r="B34" s="1033"/>
      <c r="C34" s="1075"/>
      <c r="D34" s="1075"/>
      <c r="E34" s="1075"/>
      <c r="F34" s="1075"/>
      <c r="G34" s="1075"/>
      <c r="H34" s="1075"/>
      <c r="I34" s="1075"/>
      <c r="J34" s="1075"/>
      <c r="K34" s="1075"/>
      <c r="L34" s="1057"/>
      <c r="M34" s="1057"/>
      <c r="N34" s="1057"/>
    </row>
    <row r="35" spans="1:15" s="708" customFormat="1" ht="10.5" customHeight="1" x14ac:dyDescent="0.25">
      <c r="A35" s="1258" t="s">
        <v>1267</v>
      </c>
      <c r="B35" s="1033"/>
      <c r="C35" s="1037"/>
      <c r="D35" s="1036"/>
      <c r="E35" s="1037"/>
      <c r="F35" s="1037"/>
      <c r="G35" s="1037"/>
      <c r="H35" s="1037"/>
      <c r="I35" s="1037"/>
      <c r="J35" s="1037"/>
      <c r="K35" s="1037"/>
    </row>
    <row r="36" spans="1:15" ht="10.5" customHeight="1" x14ac:dyDescent="0.25">
      <c r="A36" s="288" t="s">
        <v>547</v>
      </c>
      <c r="B36" s="236"/>
      <c r="C36" s="344">
        <f>C17-'A6-FinPos'!C7-'A6-FinPos'!C16</f>
        <v>0</v>
      </c>
      <c r="D36" s="344">
        <f>D17-'A6-FinPos'!D7-'A6-FinPos'!D16</f>
        <v>0</v>
      </c>
      <c r="E36" s="446">
        <f>E17-'A6-FinPos'!E7-'A6-FinPos'!E16</f>
        <v>0</v>
      </c>
      <c r="F36" s="602">
        <f>F17-'A6-FinPos'!F7-'A6-FinPos'!F16</f>
        <v>0</v>
      </c>
      <c r="G36" s="446">
        <f>G17-'A6-FinPos'!G7-'A6-FinPos'!G16</f>
        <v>0</v>
      </c>
      <c r="H36" s="446">
        <f>H17-'A6-FinPos'!H7-'A6-FinPos'!H16</f>
        <v>0</v>
      </c>
      <c r="I36" s="446">
        <f>I17-'A6-FinPos'!J7-'A6-FinPos'!J16</f>
        <v>-2468986.65</v>
      </c>
      <c r="J36" s="446">
        <f>J17-'A6-FinPos'!K7-'A6-FinPos'!K16</f>
        <v>-2614656.8623499996</v>
      </c>
      <c r="K36" s="446">
        <f>K17-'A6-FinPos'!L7-'A6-FinPos'!L16</f>
        <v>-2761077.6466415995</v>
      </c>
    </row>
    <row r="37" spans="1:15" ht="11.25" customHeight="1" x14ac:dyDescent="0.25">
      <c r="O37" s="369"/>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sheetProtection sheet="1" objects="1" scenarios="1"/>
  <customSheetViews>
    <customSheetView guid="{F50C5479-5CC4-4FD7-8319-543D29E829F0}" showGridLines="0" fitToPage="1">
      <pane xSplit="2" ySplit="4" topLeftCell="C11" activePane="bottomRight" state="frozen"/>
      <selection pane="bottomRight" activeCell="F35" sqref="F35"/>
      <pageMargins left="0" right="0" top="0.78740157480314965" bottom="0.59055118110236227" header="0.51181102362204722" footer="0.39370078740157483"/>
      <printOptions horizontalCentered="1"/>
      <pageSetup paperSize="9" scale="87" orientation="portrait" r:id="rId1"/>
      <headerFooter alignWithMargins="0"/>
    </customSheetView>
  </customSheetViews>
  <mergeCells count="4">
    <mergeCell ref="F2:H2"/>
    <mergeCell ref="I2:K2"/>
    <mergeCell ref="B2:B4"/>
    <mergeCell ref="A2:A3"/>
  </mergeCells>
  <phoneticPr fontId="2" type="noConversion"/>
  <printOptions horizontalCentered="1"/>
  <pageMargins left="0" right="0" top="0.78740157480314965" bottom="0.59055118110236227" header="0.51181102362204722" footer="0.39370078740157483"/>
  <pageSetup paperSize="9" scale="87" orientation="portrait" r:id="rId2"/>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indexed="42"/>
    <pageSetUpPr fitToPage="1"/>
  </sheetPr>
  <dimension ref="A1:S64"/>
  <sheetViews>
    <sheetView showGridLines="0" zoomScaleNormal="100" workbookViewId="0">
      <pane xSplit="2" ySplit="3" topLeftCell="J4" activePane="bottomRight" state="frozen"/>
      <selection activeCell="F35" sqref="F35"/>
      <selection pane="topRight" activeCell="F35" sqref="F35"/>
      <selection pane="bottomLeft" activeCell="F35" sqref="F35"/>
      <selection pane="bottomRight" activeCell="L1" sqref="L1"/>
    </sheetView>
  </sheetViews>
  <sheetFormatPr defaultRowHeight="12.75" x14ac:dyDescent="0.25"/>
  <cols>
    <col min="1" max="1" width="30.7109375" style="149" customWidth="1"/>
    <col min="2" max="2" width="3" style="2465" customWidth="1"/>
    <col min="3" max="10" width="13.7109375" style="149" customWidth="1"/>
    <col min="11" max="15" width="13.5703125" style="149" customWidth="1"/>
    <col min="16" max="16" width="9.5703125" style="149" customWidth="1"/>
    <col min="17" max="17" width="9.85546875" style="149" customWidth="1"/>
    <col min="18" max="20" width="9.5703125" style="149" customWidth="1"/>
    <col min="21" max="21" width="9.85546875" style="149" customWidth="1"/>
    <col min="22" max="24" width="9.5703125" style="149" customWidth="1"/>
    <col min="25" max="26" width="9.85546875" style="149" customWidth="1"/>
    <col min="27" max="16384" width="9.140625" style="149"/>
  </cols>
  <sheetData>
    <row r="1" spans="1:15" ht="13.5" x14ac:dyDescent="0.25">
      <c r="A1" s="147" t="str">
        <f>muni&amp;" - "&amp;TableA16</f>
        <v>MP315 Thembisile Hani - Supporting Table SA16 Investment particulars by maturity</v>
      </c>
      <c r="B1" s="147"/>
      <c r="C1" s="147"/>
      <c r="D1" s="147"/>
      <c r="E1" s="147"/>
      <c r="F1" s="147"/>
      <c r="G1" s="147"/>
      <c r="H1" s="147"/>
      <c r="I1" s="147"/>
      <c r="J1" s="147"/>
    </row>
    <row r="2" spans="1:15" ht="43.5" customHeight="1" x14ac:dyDescent="0.25">
      <c r="A2" s="142" t="s">
        <v>548</v>
      </c>
      <c r="B2" s="732" t="str">
        <f>head27</f>
        <v>Ref</v>
      </c>
      <c r="C2" s="150" t="s">
        <v>550</v>
      </c>
      <c r="D2" s="2818" t="s">
        <v>551</v>
      </c>
      <c r="E2" s="2322" t="s">
        <v>2043</v>
      </c>
      <c r="F2" s="2322" t="s">
        <v>2042</v>
      </c>
      <c r="G2" s="2322" t="s">
        <v>2048</v>
      </c>
      <c r="H2" s="2322" t="s">
        <v>2201</v>
      </c>
      <c r="I2" s="2322" t="s">
        <v>2044</v>
      </c>
      <c r="J2" s="2800" t="s">
        <v>552</v>
      </c>
      <c r="K2" s="891" t="s">
        <v>2268</v>
      </c>
      <c r="L2" s="733" t="s">
        <v>553</v>
      </c>
      <c r="M2" s="150" t="s">
        <v>2272</v>
      </c>
      <c r="N2" s="150" t="s">
        <v>2269</v>
      </c>
      <c r="O2" s="733" t="s">
        <v>2270</v>
      </c>
    </row>
    <row r="3" spans="1:15" ht="12.75" customHeight="1" x14ac:dyDescent="0.25">
      <c r="A3" s="141" t="s">
        <v>549</v>
      </c>
      <c r="B3" s="734">
        <v>1</v>
      </c>
      <c r="C3" s="138" t="s">
        <v>1567</v>
      </c>
      <c r="D3" s="2819"/>
      <c r="E3" s="982"/>
      <c r="F3" s="982"/>
      <c r="G3" s="982"/>
      <c r="H3" s="982"/>
      <c r="I3" s="982"/>
      <c r="J3" s="2801"/>
      <c r="K3" s="2837"/>
      <c r="L3" s="2837"/>
      <c r="M3" s="2837"/>
      <c r="N3" s="2837"/>
      <c r="O3" s="2838"/>
    </row>
    <row r="4" spans="1:15" ht="12.75" customHeight="1" x14ac:dyDescent="0.25">
      <c r="A4" s="249" t="s">
        <v>178</v>
      </c>
      <c r="B4" s="2461"/>
      <c r="C4" s="182"/>
      <c r="D4" s="735"/>
      <c r="E4" s="735"/>
      <c r="F4" s="735"/>
      <c r="G4" s="735"/>
      <c r="H4" s="735"/>
      <c r="I4" s="735"/>
      <c r="J4" s="736"/>
      <c r="K4" s="2609"/>
      <c r="L4" s="2633"/>
      <c r="M4" s="2610"/>
      <c r="N4" s="2610"/>
      <c r="O4" s="737"/>
    </row>
    <row r="5" spans="1:15" ht="11.25" customHeight="1" x14ac:dyDescent="0.25">
      <c r="A5" s="1914"/>
      <c r="B5" s="2462"/>
      <c r="C5" s="1827"/>
      <c r="D5" s="1915"/>
      <c r="E5" s="1915"/>
      <c r="F5" s="1915"/>
      <c r="G5" s="1915"/>
      <c r="H5" s="1915"/>
      <c r="I5" s="1915"/>
      <c r="J5" s="1916"/>
      <c r="K5" s="1913"/>
      <c r="L5" s="2634"/>
      <c r="M5" s="1909"/>
      <c r="N5" s="1909"/>
      <c r="O5" s="2638">
        <f>SUM(K5:N5)</f>
        <v>0</v>
      </c>
    </row>
    <row r="6" spans="1:15" ht="11.25" customHeight="1" x14ac:dyDescent="0.25">
      <c r="A6" s="1914"/>
      <c r="B6" s="2462"/>
      <c r="C6" s="1827"/>
      <c r="D6" s="1915"/>
      <c r="E6" s="1915"/>
      <c r="F6" s="1915"/>
      <c r="G6" s="1915"/>
      <c r="H6" s="1915"/>
      <c r="I6" s="1915"/>
      <c r="J6" s="1916"/>
      <c r="K6" s="1913"/>
      <c r="L6" s="2634"/>
      <c r="M6" s="1909"/>
      <c r="N6" s="1909"/>
      <c r="O6" s="2638">
        <f t="shared" ref="O6:O11" si="0">SUM(K6:N6)</f>
        <v>0</v>
      </c>
    </row>
    <row r="7" spans="1:15" ht="11.25" customHeight="1" x14ac:dyDescent="0.25">
      <c r="A7" s="1914"/>
      <c r="B7" s="2462"/>
      <c r="C7" s="1827"/>
      <c r="D7" s="1915"/>
      <c r="E7" s="1915"/>
      <c r="F7" s="1915"/>
      <c r="G7" s="1915"/>
      <c r="H7" s="1915"/>
      <c r="I7" s="1915"/>
      <c r="J7" s="1916"/>
      <c r="K7" s="1913"/>
      <c r="L7" s="2634"/>
      <c r="M7" s="1909"/>
      <c r="N7" s="1909"/>
      <c r="O7" s="2638">
        <f t="shared" si="0"/>
        <v>0</v>
      </c>
    </row>
    <row r="8" spans="1:15" ht="11.25" customHeight="1" x14ac:dyDescent="0.25">
      <c r="A8" s="1914"/>
      <c r="B8" s="2462"/>
      <c r="C8" s="1827"/>
      <c r="D8" s="1915"/>
      <c r="E8" s="1915"/>
      <c r="F8" s="1915"/>
      <c r="G8" s="1915"/>
      <c r="H8" s="1915"/>
      <c r="I8" s="1915"/>
      <c r="J8" s="1916"/>
      <c r="K8" s="1913"/>
      <c r="L8" s="2634"/>
      <c r="M8" s="1909"/>
      <c r="N8" s="1909"/>
      <c r="O8" s="2638">
        <f t="shared" si="0"/>
        <v>0</v>
      </c>
    </row>
    <row r="9" spans="1:15" ht="11.25" customHeight="1" x14ac:dyDescent="0.25">
      <c r="A9" s="1914"/>
      <c r="B9" s="2462"/>
      <c r="C9" s="1827"/>
      <c r="D9" s="1915"/>
      <c r="E9" s="1915"/>
      <c r="F9" s="1915"/>
      <c r="G9" s="1915"/>
      <c r="H9" s="1915"/>
      <c r="I9" s="1915"/>
      <c r="J9" s="1916"/>
      <c r="K9" s="1913"/>
      <c r="L9" s="2634"/>
      <c r="M9" s="1909"/>
      <c r="N9" s="1909"/>
      <c r="O9" s="2638">
        <f t="shared" si="0"/>
        <v>0</v>
      </c>
    </row>
    <row r="10" spans="1:15" ht="11.25" customHeight="1" x14ac:dyDescent="0.25">
      <c r="A10" s="1914"/>
      <c r="B10" s="2462"/>
      <c r="C10" s="1827"/>
      <c r="D10" s="1915"/>
      <c r="E10" s="1915"/>
      <c r="F10" s="1915"/>
      <c r="G10" s="1915"/>
      <c r="H10" s="1915"/>
      <c r="I10" s="1915"/>
      <c r="J10" s="1916"/>
      <c r="K10" s="1913"/>
      <c r="L10" s="2634"/>
      <c r="M10" s="1909"/>
      <c r="N10" s="1909"/>
      <c r="O10" s="2638">
        <f t="shared" si="0"/>
        <v>0</v>
      </c>
    </row>
    <row r="11" spans="1:15" ht="11.25" customHeight="1" x14ac:dyDescent="0.25">
      <c r="A11" s="1914"/>
      <c r="B11" s="2462"/>
      <c r="C11" s="1827"/>
      <c r="D11" s="1915"/>
      <c r="E11" s="1915"/>
      <c r="F11" s="1915"/>
      <c r="G11" s="1915"/>
      <c r="H11" s="1915"/>
      <c r="I11" s="1915"/>
      <c r="J11" s="1916"/>
      <c r="K11" s="1913"/>
      <c r="L11" s="2634"/>
      <c r="M11" s="1909"/>
      <c r="N11" s="1909"/>
      <c r="O11" s="2639">
        <f t="shared" si="0"/>
        <v>0</v>
      </c>
    </row>
    <row r="12" spans="1:15" ht="11.25" customHeight="1" x14ac:dyDescent="0.25">
      <c r="A12" s="265" t="s">
        <v>177</v>
      </c>
      <c r="B12" s="2461"/>
      <c r="C12" s="1352"/>
      <c r="D12" s="1353"/>
      <c r="E12" s="1353"/>
      <c r="F12" s="1353"/>
      <c r="G12" s="1353"/>
      <c r="H12" s="1353"/>
      <c r="I12" s="1353"/>
      <c r="J12" s="1354"/>
      <c r="K12" s="720">
        <f>SUM(K5:K11)</f>
        <v>0</v>
      </c>
      <c r="L12" s="2635"/>
      <c r="M12" s="716">
        <f>SUM(M5:M11)</f>
        <v>0</v>
      </c>
      <c r="N12" s="716">
        <f>SUM(N5:N11)</f>
        <v>0</v>
      </c>
      <c r="O12" s="740">
        <f>SUM(O5:O11)</f>
        <v>0</v>
      </c>
    </row>
    <row r="13" spans="1:15" ht="11.25" customHeight="1" x14ac:dyDescent="0.25">
      <c r="A13" s="273"/>
      <c r="B13" s="2461"/>
      <c r="C13" s="182"/>
      <c r="D13" s="735"/>
      <c r="E13" s="735"/>
      <c r="F13" s="735"/>
      <c r="G13" s="735"/>
      <c r="H13" s="735"/>
      <c r="I13" s="735"/>
      <c r="J13" s="738"/>
      <c r="K13" s="715"/>
      <c r="L13" s="2434"/>
      <c r="M13" s="714"/>
      <c r="N13" s="714"/>
      <c r="O13" s="739"/>
    </row>
    <row r="14" spans="1:15" ht="11.25" customHeight="1" x14ac:dyDescent="0.25">
      <c r="A14" s="249" t="s">
        <v>675</v>
      </c>
      <c r="B14" s="2461"/>
      <c r="C14" s="182"/>
      <c r="D14" s="735"/>
      <c r="E14" s="735"/>
      <c r="F14" s="735"/>
      <c r="G14" s="735"/>
      <c r="H14" s="735"/>
      <c r="I14" s="735"/>
      <c r="J14" s="738"/>
      <c r="K14" s="715"/>
      <c r="L14" s="2434"/>
      <c r="M14" s="714"/>
      <c r="N14" s="714"/>
      <c r="O14" s="739"/>
    </row>
    <row r="15" spans="1:15" ht="11.25" customHeight="1" x14ac:dyDescent="0.25">
      <c r="A15" s="1914"/>
      <c r="B15" s="2462"/>
      <c r="C15" s="1827"/>
      <c r="D15" s="1915"/>
      <c r="E15" s="1915"/>
      <c r="F15" s="1915"/>
      <c r="G15" s="1915"/>
      <c r="H15" s="1915"/>
      <c r="I15" s="1915"/>
      <c r="J15" s="1916"/>
      <c r="K15" s="1913"/>
      <c r="L15" s="2634"/>
      <c r="M15" s="1909"/>
      <c r="N15" s="1909"/>
      <c r="O15" s="2638">
        <f>SUM(K15:N15)</f>
        <v>0</v>
      </c>
    </row>
    <row r="16" spans="1:15" ht="11.25" customHeight="1" x14ac:dyDescent="0.25">
      <c r="A16" s="1914"/>
      <c r="B16" s="2462"/>
      <c r="C16" s="1827"/>
      <c r="D16" s="1915"/>
      <c r="E16" s="1915"/>
      <c r="F16" s="1915"/>
      <c r="G16" s="1915"/>
      <c r="H16" s="1915"/>
      <c r="I16" s="1915"/>
      <c r="J16" s="1916"/>
      <c r="K16" s="1913"/>
      <c r="L16" s="2634"/>
      <c r="M16" s="1909"/>
      <c r="N16" s="1909"/>
      <c r="O16" s="2638">
        <f t="shared" ref="O16:O21" si="1">SUM(K16:N16)</f>
        <v>0</v>
      </c>
    </row>
    <row r="17" spans="1:17" ht="11.25" customHeight="1" x14ac:dyDescent="0.25">
      <c r="A17" s="1914"/>
      <c r="B17" s="2462"/>
      <c r="C17" s="1827"/>
      <c r="D17" s="1915"/>
      <c r="E17" s="1915"/>
      <c r="F17" s="1915"/>
      <c r="G17" s="1915"/>
      <c r="H17" s="1915"/>
      <c r="I17" s="1915"/>
      <c r="J17" s="1916"/>
      <c r="K17" s="1913"/>
      <c r="L17" s="2634"/>
      <c r="M17" s="1909"/>
      <c r="N17" s="1909"/>
      <c r="O17" s="2638">
        <f t="shared" si="1"/>
        <v>0</v>
      </c>
    </row>
    <row r="18" spans="1:17" ht="11.25" customHeight="1" x14ac:dyDescent="0.25">
      <c r="A18" s="1914"/>
      <c r="B18" s="2462"/>
      <c r="C18" s="1827"/>
      <c r="D18" s="1915"/>
      <c r="E18" s="1915"/>
      <c r="F18" s="1915"/>
      <c r="G18" s="1915"/>
      <c r="H18" s="1915"/>
      <c r="I18" s="1915"/>
      <c r="J18" s="1916"/>
      <c r="K18" s="1913"/>
      <c r="L18" s="2634"/>
      <c r="M18" s="1909"/>
      <c r="N18" s="1909"/>
      <c r="O18" s="2638">
        <f t="shared" si="1"/>
        <v>0</v>
      </c>
    </row>
    <row r="19" spans="1:17" ht="11.25" customHeight="1" x14ac:dyDescent="0.25">
      <c r="A19" s="1914"/>
      <c r="B19" s="2462"/>
      <c r="C19" s="1827"/>
      <c r="D19" s="1915"/>
      <c r="E19" s="1915"/>
      <c r="F19" s="1915"/>
      <c r="G19" s="1915"/>
      <c r="H19" s="1915"/>
      <c r="I19" s="1915"/>
      <c r="J19" s="1916"/>
      <c r="K19" s="1913"/>
      <c r="L19" s="2634"/>
      <c r="M19" s="1909"/>
      <c r="N19" s="1909"/>
      <c r="O19" s="2638">
        <f t="shared" si="1"/>
        <v>0</v>
      </c>
    </row>
    <row r="20" spans="1:17" ht="11.25" customHeight="1" x14ac:dyDescent="0.25">
      <c r="A20" s="1914"/>
      <c r="B20" s="2462"/>
      <c r="C20" s="1827"/>
      <c r="D20" s="1915"/>
      <c r="E20" s="1915"/>
      <c r="F20" s="1915"/>
      <c r="G20" s="1915"/>
      <c r="H20" s="1915"/>
      <c r="I20" s="1915"/>
      <c r="J20" s="1916"/>
      <c r="K20" s="1913"/>
      <c r="L20" s="2634"/>
      <c r="M20" s="1909"/>
      <c r="N20" s="1909"/>
      <c r="O20" s="2638">
        <f t="shared" si="1"/>
        <v>0</v>
      </c>
    </row>
    <row r="21" spans="1:17" ht="11.25" customHeight="1" x14ac:dyDescent="0.25">
      <c r="A21" s="1914"/>
      <c r="B21" s="2462"/>
      <c r="C21" s="1827"/>
      <c r="D21" s="1915"/>
      <c r="E21" s="1915"/>
      <c r="F21" s="1915"/>
      <c r="G21" s="1915"/>
      <c r="H21" s="1915"/>
      <c r="I21" s="1915"/>
      <c r="J21" s="1916"/>
      <c r="K21" s="1913"/>
      <c r="L21" s="2634"/>
      <c r="M21" s="1909"/>
      <c r="N21" s="1909"/>
      <c r="O21" s="2638">
        <f t="shared" si="1"/>
        <v>0</v>
      </c>
    </row>
    <row r="22" spans="1:17" ht="11.25" customHeight="1" x14ac:dyDescent="0.25">
      <c r="A22" s="265" t="s">
        <v>176</v>
      </c>
      <c r="B22" s="2461"/>
      <c r="C22" s="1352"/>
      <c r="D22" s="1353"/>
      <c r="E22" s="1353"/>
      <c r="F22" s="1353"/>
      <c r="G22" s="1353"/>
      <c r="H22" s="1353"/>
      <c r="I22" s="1353"/>
      <c r="J22" s="1354"/>
      <c r="K22" s="720">
        <f>SUM(K15:K21)</f>
        <v>0</v>
      </c>
      <c r="L22" s="2635"/>
      <c r="M22" s="716">
        <f>SUM(M15:M21)</f>
        <v>0</v>
      </c>
      <c r="N22" s="716">
        <f>SUM(N15:N21)</f>
        <v>0</v>
      </c>
      <c r="O22" s="740">
        <f>SUM(O15:O21)</f>
        <v>0</v>
      </c>
    </row>
    <row r="23" spans="1:17" ht="5.0999999999999996" customHeight="1" x14ac:dyDescent="0.25">
      <c r="A23" s="273"/>
      <c r="B23" s="2461"/>
      <c r="C23" s="182"/>
      <c r="D23" s="735"/>
      <c r="E23" s="735"/>
      <c r="F23" s="735"/>
      <c r="G23" s="735"/>
      <c r="H23" s="735"/>
      <c r="I23" s="735"/>
      <c r="J23" s="738"/>
      <c r="K23" s="750"/>
      <c r="L23" s="2636"/>
      <c r="M23" s="746"/>
      <c r="N23" s="746"/>
      <c r="O23" s="2611"/>
    </row>
    <row r="24" spans="1:17" x14ac:dyDescent="0.25">
      <c r="A24" s="396" t="s">
        <v>561</v>
      </c>
      <c r="B24" s="2463">
        <v>1</v>
      </c>
      <c r="C24" s="381"/>
      <c r="D24" s="741"/>
      <c r="E24" s="741"/>
      <c r="F24" s="741"/>
      <c r="G24" s="741"/>
      <c r="H24" s="741"/>
      <c r="I24" s="741"/>
      <c r="J24" s="742"/>
      <c r="K24" s="731">
        <f>K12+K22</f>
        <v>0</v>
      </c>
      <c r="L24" s="2637"/>
      <c r="M24" s="727">
        <f>M12+M22</f>
        <v>0</v>
      </c>
      <c r="N24" s="727">
        <f>N12+N22</f>
        <v>0</v>
      </c>
      <c r="O24" s="743">
        <f>O12+O22</f>
        <v>0</v>
      </c>
    </row>
    <row r="25" spans="1:17" ht="6" customHeight="1" x14ac:dyDescent="0.25">
      <c r="A25" s="246"/>
      <c r="B25" s="429"/>
      <c r="C25" s="1075"/>
      <c r="D25" s="1351"/>
      <c r="E25" s="309"/>
      <c r="F25" s="309"/>
      <c r="G25" s="309"/>
      <c r="H25" s="309"/>
      <c r="I25" s="309"/>
      <c r="J25" s="309"/>
      <c r="O25" s="246"/>
      <c r="P25" s="246"/>
      <c r="Q25" s="246"/>
    </row>
    <row r="26" spans="1:17" s="708" customFormat="1" x14ac:dyDescent="0.25">
      <c r="A26" s="1228" t="str">
        <f>head27a</f>
        <v>References</v>
      </c>
      <c r="B26" s="2464"/>
      <c r="C26" s="1075"/>
      <c r="D26" s="1075"/>
      <c r="E26" s="1075"/>
      <c r="F26" s="1075"/>
      <c r="G26" s="1075"/>
      <c r="H26" s="1075"/>
      <c r="I26" s="1075"/>
      <c r="J26" s="1075"/>
      <c r="O26" s="1057"/>
      <c r="P26" s="1057"/>
      <c r="Q26" s="1057"/>
    </row>
    <row r="27" spans="1:17" s="708" customFormat="1" ht="11.25" customHeight="1" x14ac:dyDescent="0.25">
      <c r="A27" s="1190" t="s">
        <v>366</v>
      </c>
      <c r="B27" s="2464"/>
      <c r="C27" s="1037"/>
      <c r="D27" s="1036"/>
      <c r="E27" s="1036"/>
      <c r="F27" s="1036"/>
      <c r="G27" s="1036"/>
      <c r="H27" s="1036"/>
      <c r="I27" s="1036"/>
      <c r="J27" s="1037"/>
    </row>
    <row r="28" spans="1:17" s="708" customFormat="1" ht="11.25" customHeight="1" x14ac:dyDescent="0.25">
      <c r="A28" s="1190" t="s">
        <v>919</v>
      </c>
      <c r="B28" s="2464"/>
      <c r="C28" s="1037"/>
      <c r="D28" s="1036"/>
      <c r="E28" s="1036"/>
      <c r="F28" s="1036"/>
      <c r="G28" s="1036"/>
      <c r="H28" s="1036"/>
      <c r="I28" s="1036"/>
      <c r="J28" s="1037"/>
    </row>
    <row r="29" spans="1:17" ht="11.25" customHeight="1" x14ac:dyDescent="0.25">
      <c r="A29" s="1190" t="s">
        <v>2200</v>
      </c>
      <c r="B29" s="429"/>
      <c r="C29" s="309"/>
      <c r="D29" s="309"/>
      <c r="E29" s="309"/>
      <c r="F29" s="309"/>
      <c r="G29" s="309"/>
      <c r="H29" s="309"/>
      <c r="I29" s="309"/>
      <c r="J29" s="309"/>
    </row>
    <row r="30" spans="1:17" ht="11.25" customHeight="1" x14ac:dyDescent="0.25">
      <c r="A30" s="1190" t="s">
        <v>2271</v>
      </c>
      <c r="B30" s="429"/>
      <c r="C30" s="309"/>
      <c r="D30" s="309"/>
      <c r="E30" s="309"/>
      <c r="F30" s="309"/>
      <c r="G30" s="309"/>
      <c r="H30" s="309"/>
      <c r="I30" s="309"/>
      <c r="J30" s="309"/>
    </row>
    <row r="31" spans="1:17" ht="11.25" customHeight="1" x14ac:dyDescent="0.25">
      <c r="A31" s="436" t="s">
        <v>1509</v>
      </c>
    </row>
    <row r="32" spans="1:17" ht="11.25" customHeight="1" x14ac:dyDescent="0.25">
      <c r="M32" s="149" t="s">
        <v>2206</v>
      </c>
    </row>
    <row r="33" spans="19:19" ht="11.25" customHeight="1" x14ac:dyDescent="0.25"/>
    <row r="34" spans="19:19" ht="11.25" customHeight="1" x14ac:dyDescent="0.25"/>
    <row r="35" spans="19:19" ht="11.25" customHeight="1" x14ac:dyDescent="0.25"/>
    <row r="36" spans="19:19" ht="11.25" customHeight="1" x14ac:dyDescent="0.25"/>
    <row r="37" spans="19:19" ht="11.25" customHeight="1" x14ac:dyDescent="0.25"/>
    <row r="38" spans="19:19" ht="11.25" customHeight="1" x14ac:dyDescent="0.25">
      <c r="S38" s="369"/>
    </row>
    <row r="39" spans="19:19" ht="11.25" customHeight="1" x14ac:dyDescent="0.25"/>
    <row r="40" spans="19:19" ht="11.25" customHeight="1" x14ac:dyDescent="0.25"/>
    <row r="41" spans="19:19" ht="11.25" customHeight="1" x14ac:dyDescent="0.25"/>
    <row r="42" spans="19:19" ht="11.25" customHeight="1" x14ac:dyDescent="0.25"/>
    <row r="43" spans="19:19" ht="11.25" customHeight="1" x14ac:dyDescent="0.25"/>
    <row r="44" spans="19:19" ht="11.25" customHeight="1" x14ac:dyDescent="0.25"/>
    <row r="45" spans="19:19" ht="11.25" customHeight="1" x14ac:dyDescent="0.25"/>
    <row r="46" spans="19:19" ht="11.25" customHeight="1" x14ac:dyDescent="0.25"/>
    <row r="47" spans="19:19" ht="11.25" customHeight="1" x14ac:dyDescent="0.25"/>
    <row r="48" spans="19:19"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sheetData>
  <sheetProtection sheet="1" objects="1" scenarios="1"/>
  <customSheetViews>
    <customSheetView guid="{F50C5479-5CC4-4FD7-8319-543D29E829F0}" showGridLines="0" fitToPage="1">
      <pane xSplit="2" ySplit="3" topLeftCell="J4" activePane="bottomRight" state="frozen"/>
      <selection pane="bottomRight" activeCell="F35" sqref="F35"/>
      <pageMargins left="0" right="0" top="0.78740157480314965" bottom="0.59055118110236227" header="0.51181102362204722" footer="0.39370078740157483"/>
      <printOptions horizontalCentered="1"/>
      <pageSetup paperSize="9" scale="71" orientation="portrait" r:id="rId1"/>
      <headerFooter alignWithMargins="0"/>
    </customSheetView>
  </customSheetViews>
  <mergeCells count="3">
    <mergeCell ref="D2:D3"/>
    <mergeCell ref="J2:J3"/>
    <mergeCell ref="K3:O3"/>
  </mergeCells>
  <phoneticPr fontId="2" type="noConversion"/>
  <printOptions horizontalCentered="1"/>
  <pageMargins left="0" right="0" top="0.78740157480314965" bottom="0.59055118110236227" header="0.51181102362204722" footer="0.39370078740157483"/>
  <pageSetup paperSize="9" scale="71" orientation="portrait" r:id="rId2"/>
  <headerFooter alignWithMargins="0"/>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42"/>
    <pageSetUpPr fitToPage="1"/>
  </sheetPr>
  <dimension ref="A1:AS72"/>
  <sheetViews>
    <sheetView showGridLines="0" zoomScaleNormal="100" workbookViewId="0">
      <pane xSplit="2" ySplit="3" topLeftCell="D4" activePane="bottomRight" state="frozen"/>
      <selection activeCell="F35" sqref="F35"/>
      <selection pane="topRight" activeCell="F35" sqref="F35"/>
      <selection pane="bottomLeft" activeCell="F35" sqref="F35"/>
      <selection pane="bottomRight" activeCell="D21" sqref="D21:K31"/>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x14ac:dyDescent="0.25">
      <c r="A1" s="147" t="str">
        <f>muni&amp;" - "&amp;TableA17</f>
        <v>MP315 Thembisile Hani - Supporting Table SA17 Borrowing</v>
      </c>
      <c r="B1" s="147"/>
      <c r="C1" s="147"/>
      <c r="D1" s="147"/>
      <c r="E1" s="147"/>
      <c r="F1" s="147"/>
      <c r="G1" s="147"/>
      <c r="H1" s="147"/>
      <c r="I1" s="147"/>
      <c r="J1" s="147"/>
      <c r="K1" s="147"/>
    </row>
    <row r="2" spans="1:11" ht="28.5" customHeight="1" x14ac:dyDescent="0.25">
      <c r="A2" s="991" t="s">
        <v>823</v>
      </c>
      <c r="B2" s="418" t="str">
        <f>head27</f>
        <v>Ref</v>
      </c>
      <c r="C2" s="150"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180" t="s">
        <v>662</v>
      </c>
      <c r="B3" s="985"/>
      <c r="C3" s="389" t="str">
        <f>Head5</f>
        <v>Audited Outcome</v>
      </c>
      <c r="D3" s="389"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1" ht="12.75" customHeight="1" x14ac:dyDescent="0.25">
      <c r="A4" s="249" t="s">
        <v>178</v>
      </c>
      <c r="B4" s="182"/>
      <c r="C4" s="714"/>
      <c r="D4" s="714"/>
      <c r="E4" s="745"/>
      <c r="F4" s="711"/>
      <c r="G4" s="714"/>
      <c r="H4" s="712"/>
      <c r="I4" s="715"/>
      <c r="J4" s="714"/>
      <c r="K4" s="710"/>
    </row>
    <row r="5" spans="1:11" ht="12.75" customHeight="1" x14ac:dyDescent="0.25">
      <c r="A5" s="250" t="s">
        <v>103</v>
      </c>
      <c r="B5" s="182"/>
      <c r="C5" s="1909"/>
      <c r="D5" s="1909">
        <v>0</v>
      </c>
      <c r="E5" s="1910">
        <v>0</v>
      </c>
      <c r="F5" s="1911">
        <v>0</v>
      </c>
      <c r="G5" s="1909">
        <v>0</v>
      </c>
      <c r="H5" s="1912">
        <v>0</v>
      </c>
      <c r="I5" s="1913">
        <v>0</v>
      </c>
      <c r="J5" s="1909">
        <v>0</v>
      </c>
      <c r="K5" s="1910">
        <v>0</v>
      </c>
    </row>
    <row r="6" spans="1:11" ht="12.75" customHeight="1" x14ac:dyDescent="0.25">
      <c r="A6" s="250" t="s">
        <v>293</v>
      </c>
      <c r="B6" s="182"/>
      <c r="C6" s="1909"/>
      <c r="D6" s="1909">
        <v>0</v>
      </c>
      <c r="E6" s="1910">
        <v>0</v>
      </c>
      <c r="F6" s="1911">
        <v>0</v>
      </c>
      <c r="G6" s="1909">
        <v>0</v>
      </c>
      <c r="H6" s="1912">
        <v>0</v>
      </c>
      <c r="I6" s="1913">
        <v>0</v>
      </c>
      <c r="J6" s="1909">
        <v>0</v>
      </c>
      <c r="K6" s="1910">
        <v>0</v>
      </c>
    </row>
    <row r="7" spans="1:11" ht="12.75" customHeight="1" x14ac:dyDescent="0.25">
      <c r="A7" s="250" t="s">
        <v>104</v>
      </c>
      <c r="B7" s="182"/>
      <c r="C7" s="1909"/>
      <c r="D7" s="1909">
        <v>0</v>
      </c>
      <c r="E7" s="1910">
        <v>0</v>
      </c>
      <c r="F7" s="1911">
        <v>0</v>
      </c>
      <c r="G7" s="1909">
        <v>0</v>
      </c>
      <c r="H7" s="1912">
        <v>0</v>
      </c>
      <c r="I7" s="1913">
        <v>0</v>
      </c>
      <c r="J7" s="1909">
        <v>0</v>
      </c>
      <c r="K7" s="1910">
        <v>0</v>
      </c>
    </row>
    <row r="8" spans="1:11" ht="12.75" customHeight="1" x14ac:dyDescent="0.25">
      <c r="A8" s="250" t="s">
        <v>555</v>
      </c>
      <c r="B8" s="182"/>
      <c r="C8" s="1909"/>
      <c r="D8" s="1909">
        <v>0</v>
      </c>
      <c r="E8" s="1910">
        <v>0</v>
      </c>
      <c r="F8" s="1911">
        <v>0</v>
      </c>
      <c r="G8" s="1909">
        <v>0</v>
      </c>
      <c r="H8" s="1912">
        <v>0</v>
      </c>
      <c r="I8" s="1913">
        <v>0</v>
      </c>
      <c r="J8" s="1909">
        <v>0</v>
      </c>
      <c r="K8" s="1910">
        <v>0</v>
      </c>
    </row>
    <row r="9" spans="1:11" ht="12.75" customHeight="1" x14ac:dyDescent="0.25">
      <c r="A9" s="250" t="s">
        <v>556</v>
      </c>
      <c r="B9" s="182"/>
      <c r="C9" s="1909"/>
      <c r="D9" s="1909">
        <v>0</v>
      </c>
      <c r="E9" s="1910">
        <v>0</v>
      </c>
      <c r="F9" s="1911">
        <v>0</v>
      </c>
      <c r="G9" s="1909">
        <v>0</v>
      </c>
      <c r="H9" s="1912">
        <v>0</v>
      </c>
      <c r="I9" s="1913">
        <v>0</v>
      </c>
      <c r="J9" s="1909">
        <v>0</v>
      </c>
      <c r="K9" s="1910">
        <v>0</v>
      </c>
    </row>
    <row r="10" spans="1:11" ht="12.75" customHeight="1" x14ac:dyDescent="0.25">
      <c r="A10" s="250" t="s">
        <v>778</v>
      </c>
      <c r="B10" s="182"/>
      <c r="C10" s="1909"/>
      <c r="D10" s="1909">
        <v>0</v>
      </c>
      <c r="E10" s="1910">
        <v>0</v>
      </c>
      <c r="F10" s="1911">
        <v>0</v>
      </c>
      <c r="G10" s="1909">
        <v>0</v>
      </c>
      <c r="H10" s="1912">
        <v>0</v>
      </c>
      <c r="I10" s="1913">
        <v>0</v>
      </c>
      <c r="J10" s="1909">
        <v>0</v>
      </c>
      <c r="K10" s="1910">
        <v>0</v>
      </c>
    </row>
    <row r="11" spans="1:11" ht="12.75" customHeight="1" x14ac:dyDescent="0.25">
      <c r="A11" s="250" t="s">
        <v>106</v>
      </c>
      <c r="B11" s="182"/>
      <c r="C11" s="1909"/>
      <c r="D11" s="1909">
        <v>0</v>
      </c>
      <c r="E11" s="1910">
        <v>0</v>
      </c>
      <c r="F11" s="1911">
        <v>0</v>
      </c>
      <c r="G11" s="1909">
        <v>0</v>
      </c>
      <c r="H11" s="1912">
        <v>0</v>
      </c>
      <c r="I11" s="1913">
        <v>0</v>
      </c>
      <c r="J11" s="1909">
        <v>0</v>
      </c>
      <c r="K11" s="1910">
        <v>0</v>
      </c>
    </row>
    <row r="12" spans="1:11" ht="12.75" customHeight="1" x14ac:dyDescent="0.25">
      <c r="A12" s="250" t="s">
        <v>107</v>
      </c>
      <c r="B12" s="182"/>
      <c r="C12" s="1909"/>
      <c r="D12" s="1909">
        <v>0</v>
      </c>
      <c r="E12" s="1910">
        <v>0</v>
      </c>
      <c r="F12" s="1911">
        <v>0</v>
      </c>
      <c r="G12" s="1909">
        <v>0</v>
      </c>
      <c r="H12" s="1912">
        <v>0</v>
      </c>
      <c r="I12" s="1913">
        <v>0</v>
      </c>
      <c r="J12" s="1909">
        <v>0</v>
      </c>
      <c r="K12" s="1910">
        <v>0</v>
      </c>
    </row>
    <row r="13" spans="1:11" ht="12.75" customHeight="1" x14ac:dyDescent="0.25">
      <c r="A13" s="250" t="s">
        <v>108</v>
      </c>
      <c r="B13" s="182"/>
      <c r="C13" s="1909"/>
      <c r="D13" s="1909">
        <v>0</v>
      </c>
      <c r="E13" s="1910">
        <v>0</v>
      </c>
      <c r="F13" s="1911">
        <v>0</v>
      </c>
      <c r="G13" s="1909">
        <v>0</v>
      </c>
      <c r="H13" s="1912">
        <v>0</v>
      </c>
      <c r="I13" s="1913">
        <v>0</v>
      </c>
      <c r="J13" s="1909">
        <v>0</v>
      </c>
      <c r="K13" s="1910">
        <v>0</v>
      </c>
    </row>
    <row r="14" spans="1:11" ht="12.75" customHeight="1" x14ac:dyDescent="0.25">
      <c r="A14" s="250" t="s">
        <v>109</v>
      </c>
      <c r="B14" s="182"/>
      <c r="C14" s="1909"/>
      <c r="D14" s="1909">
        <v>0</v>
      </c>
      <c r="E14" s="1910">
        <v>0</v>
      </c>
      <c r="F14" s="1911">
        <v>0</v>
      </c>
      <c r="G14" s="1909">
        <v>0</v>
      </c>
      <c r="H14" s="1912">
        <v>0</v>
      </c>
      <c r="I14" s="1913">
        <v>0</v>
      </c>
      <c r="J14" s="1909">
        <v>0</v>
      </c>
      <c r="K14" s="1910">
        <v>0</v>
      </c>
    </row>
    <row r="15" spans="1:11" ht="12.75" customHeight="1" x14ac:dyDescent="0.25">
      <c r="A15" s="250" t="s">
        <v>779</v>
      </c>
      <c r="B15" s="182"/>
      <c r="C15" s="1909"/>
      <c r="D15" s="1909">
        <v>0</v>
      </c>
      <c r="E15" s="1910">
        <v>0</v>
      </c>
      <c r="F15" s="1911">
        <v>0</v>
      </c>
      <c r="G15" s="1909">
        <v>0</v>
      </c>
      <c r="H15" s="1912">
        <v>0</v>
      </c>
      <c r="I15" s="1913">
        <v>0</v>
      </c>
      <c r="J15" s="1909">
        <v>0</v>
      </c>
      <c r="K15" s="1910">
        <v>0</v>
      </c>
    </row>
    <row r="16" spans="1:11" ht="12.75" customHeight="1" x14ac:dyDescent="0.25">
      <c r="A16" s="250" t="s">
        <v>110</v>
      </c>
      <c r="B16" s="182"/>
      <c r="C16" s="1909"/>
      <c r="D16" s="1909">
        <v>0</v>
      </c>
      <c r="E16" s="1910">
        <v>0</v>
      </c>
      <c r="F16" s="1911">
        <v>0</v>
      </c>
      <c r="G16" s="1909">
        <v>0</v>
      </c>
      <c r="H16" s="1912">
        <v>0</v>
      </c>
      <c r="I16" s="1913">
        <v>0</v>
      </c>
      <c r="J16" s="1909">
        <v>0</v>
      </c>
      <c r="K16" s="1910">
        <v>0</v>
      </c>
    </row>
    <row r="17" spans="1:11" ht="12.75" customHeight="1" x14ac:dyDescent="0.25">
      <c r="A17" s="265" t="s">
        <v>177</v>
      </c>
      <c r="B17" s="182">
        <v>1</v>
      </c>
      <c r="C17" s="716">
        <f>SUM(C5:C16)</f>
        <v>0</v>
      </c>
      <c r="D17" s="716">
        <f t="shared" ref="D17:K17" si="0">SUM(D5:D16)</f>
        <v>0</v>
      </c>
      <c r="E17" s="717">
        <f t="shared" si="0"/>
        <v>0</v>
      </c>
      <c r="F17" s="718">
        <f t="shared" si="0"/>
        <v>0</v>
      </c>
      <c r="G17" s="716">
        <f t="shared" si="0"/>
        <v>0</v>
      </c>
      <c r="H17" s="719">
        <f t="shared" si="0"/>
        <v>0</v>
      </c>
      <c r="I17" s="720">
        <f t="shared" si="0"/>
        <v>0</v>
      </c>
      <c r="J17" s="716">
        <f t="shared" si="0"/>
        <v>0</v>
      </c>
      <c r="K17" s="717">
        <f t="shared" si="0"/>
        <v>0</v>
      </c>
    </row>
    <row r="18" spans="1:11" ht="12.75" customHeight="1" x14ac:dyDescent="0.25">
      <c r="A18" s="265"/>
      <c r="B18" s="182"/>
      <c r="C18" s="746"/>
      <c r="D18" s="746"/>
      <c r="E18" s="747"/>
      <c r="F18" s="748"/>
      <c r="G18" s="746"/>
      <c r="H18" s="749"/>
      <c r="I18" s="750"/>
      <c r="J18" s="746"/>
      <c r="K18" s="747"/>
    </row>
    <row r="19" spans="1:11" ht="12.75" customHeight="1" x14ac:dyDescent="0.25">
      <c r="A19" s="249" t="s">
        <v>675</v>
      </c>
      <c r="B19" s="182"/>
      <c r="C19" s="714"/>
      <c r="D19" s="714"/>
      <c r="E19" s="710"/>
      <c r="F19" s="711"/>
      <c r="G19" s="714"/>
      <c r="H19" s="712"/>
      <c r="I19" s="715"/>
      <c r="J19" s="714"/>
      <c r="K19" s="710"/>
    </row>
    <row r="20" spans="1:11" ht="12.75" customHeight="1" x14ac:dyDescent="0.25">
      <c r="A20" s="250" t="str">
        <f t="shared" ref="A20:A31" si="1">A5</f>
        <v>Long-Term Loans (annuity/reducing balance)</v>
      </c>
      <c r="B20" s="182"/>
      <c r="C20" s="1909"/>
      <c r="D20" s="1909">
        <v>0</v>
      </c>
      <c r="E20" s="1910">
        <v>0</v>
      </c>
      <c r="F20" s="1911">
        <v>0</v>
      </c>
      <c r="G20" s="1909">
        <v>0</v>
      </c>
      <c r="H20" s="1912">
        <v>0</v>
      </c>
      <c r="I20" s="1913">
        <v>0</v>
      </c>
      <c r="J20" s="1909">
        <v>0</v>
      </c>
      <c r="K20" s="1910">
        <v>0</v>
      </c>
    </row>
    <row r="21" spans="1:11" ht="12.75" customHeight="1" x14ac:dyDescent="0.25">
      <c r="A21" s="250" t="str">
        <f t="shared" si="1"/>
        <v>Long-Term Loans (non-annuity)</v>
      </c>
      <c r="B21" s="182"/>
      <c r="C21" s="1909"/>
      <c r="D21" s="1909">
        <v>0</v>
      </c>
      <c r="E21" s="1910">
        <v>0</v>
      </c>
      <c r="F21" s="1911">
        <v>0</v>
      </c>
      <c r="G21" s="1909">
        <v>0</v>
      </c>
      <c r="H21" s="1912">
        <v>0</v>
      </c>
      <c r="I21" s="1913">
        <v>0</v>
      </c>
      <c r="J21" s="1909">
        <v>0</v>
      </c>
      <c r="K21" s="1910">
        <v>0</v>
      </c>
    </row>
    <row r="22" spans="1:11" ht="12.75" customHeight="1" x14ac:dyDescent="0.25">
      <c r="A22" s="250" t="str">
        <f t="shared" si="1"/>
        <v>Local registered stock</v>
      </c>
      <c r="B22" s="182"/>
      <c r="C22" s="1909"/>
      <c r="D22" s="1909">
        <v>0</v>
      </c>
      <c r="E22" s="1910">
        <v>0</v>
      </c>
      <c r="F22" s="1911">
        <v>0</v>
      </c>
      <c r="G22" s="1909">
        <v>0</v>
      </c>
      <c r="H22" s="1912">
        <v>0</v>
      </c>
      <c r="I22" s="1913">
        <v>0</v>
      </c>
      <c r="J22" s="1909">
        <v>0</v>
      </c>
      <c r="K22" s="1910">
        <v>0</v>
      </c>
    </row>
    <row r="23" spans="1:11" ht="12.75" customHeight="1" x14ac:dyDescent="0.25">
      <c r="A23" s="250" t="str">
        <f t="shared" si="1"/>
        <v>Instalment Credit</v>
      </c>
      <c r="B23" s="182"/>
      <c r="C23" s="1909"/>
      <c r="D23" s="1909">
        <v>0</v>
      </c>
      <c r="E23" s="1910">
        <v>0</v>
      </c>
      <c r="F23" s="1911">
        <v>0</v>
      </c>
      <c r="G23" s="1909">
        <v>0</v>
      </c>
      <c r="H23" s="1912">
        <v>0</v>
      </c>
      <c r="I23" s="1913">
        <v>0</v>
      </c>
      <c r="J23" s="1909">
        <v>0</v>
      </c>
      <c r="K23" s="1910">
        <v>0</v>
      </c>
    </row>
    <row r="24" spans="1:11" ht="12.75" customHeight="1" x14ac:dyDescent="0.25">
      <c r="A24" s="250" t="str">
        <f t="shared" si="1"/>
        <v>Financial Leases</v>
      </c>
      <c r="B24" s="182"/>
      <c r="C24" s="1909"/>
      <c r="D24" s="1909">
        <v>0</v>
      </c>
      <c r="E24" s="1910">
        <v>0</v>
      </c>
      <c r="F24" s="1911">
        <v>0</v>
      </c>
      <c r="G24" s="1909">
        <v>0</v>
      </c>
      <c r="H24" s="1912">
        <v>0</v>
      </c>
      <c r="I24" s="1913">
        <v>0</v>
      </c>
      <c r="J24" s="1909">
        <v>0</v>
      </c>
      <c r="K24" s="1910">
        <v>0</v>
      </c>
    </row>
    <row r="25" spans="1:11" ht="12.75" customHeight="1" x14ac:dyDescent="0.25">
      <c r="A25" s="250" t="str">
        <f t="shared" si="1"/>
        <v>PPP liabilities</v>
      </c>
      <c r="B25" s="182"/>
      <c r="C25" s="1909"/>
      <c r="D25" s="1909">
        <v>0</v>
      </c>
      <c r="E25" s="1910">
        <v>0</v>
      </c>
      <c r="F25" s="1911">
        <v>0</v>
      </c>
      <c r="G25" s="1909">
        <v>0</v>
      </c>
      <c r="H25" s="1912">
        <v>0</v>
      </c>
      <c r="I25" s="1913">
        <v>0</v>
      </c>
      <c r="J25" s="1909">
        <v>0</v>
      </c>
      <c r="K25" s="1910">
        <v>0</v>
      </c>
    </row>
    <row r="26" spans="1:11" ht="12.75" customHeight="1" x14ac:dyDescent="0.25">
      <c r="A26" s="250" t="str">
        <f t="shared" si="1"/>
        <v>Finance Granted By Cap Equipment Supplier</v>
      </c>
      <c r="B26" s="182"/>
      <c r="C26" s="1909"/>
      <c r="D26" s="1909">
        <v>0</v>
      </c>
      <c r="E26" s="1910">
        <v>0</v>
      </c>
      <c r="F26" s="1911">
        <v>0</v>
      </c>
      <c r="G26" s="1909">
        <v>0</v>
      </c>
      <c r="H26" s="1912">
        <v>0</v>
      </c>
      <c r="I26" s="1913">
        <v>0</v>
      </c>
      <c r="J26" s="1909">
        <v>0</v>
      </c>
      <c r="K26" s="1910">
        <v>0</v>
      </c>
    </row>
    <row r="27" spans="1:11" ht="12.75" customHeight="1" x14ac:dyDescent="0.25">
      <c r="A27" s="250" t="str">
        <f t="shared" si="1"/>
        <v>Marketable Bonds</v>
      </c>
      <c r="B27" s="182"/>
      <c r="C27" s="1909"/>
      <c r="D27" s="1909">
        <v>0</v>
      </c>
      <c r="E27" s="1910">
        <v>0</v>
      </c>
      <c r="F27" s="1911">
        <v>0</v>
      </c>
      <c r="G27" s="1909">
        <v>0</v>
      </c>
      <c r="H27" s="1912">
        <v>0</v>
      </c>
      <c r="I27" s="1913">
        <v>0</v>
      </c>
      <c r="J27" s="1909">
        <v>0</v>
      </c>
      <c r="K27" s="1910">
        <v>0</v>
      </c>
    </row>
    <row r="28" spans="1:11" ht="12.75" customHeight="1" x14ac:dyDescent="0.25">
      <c r="A28" s="250" t="str">
        <f t="shared" si="1"/>
        <v>Non-Marketable Bonds</v>
      </c>
      <c r="B28" s="182"/>
      <c r="C28" s="1909"/>
      <c r="D28" s="1909">
        <v>0</v>
      </c>
      <c r="E28" s="1910">
        <v>0</v>
      </c>
      <c r="F28" s="1911">
        <v>0</v>
      </c>
      <c r="G28" s="1909">
        <v>0</v>
      </c>
      <c r="H28" s="1912">
        <v>0</v>
      </c>
      <c r="I28" s="1913">
        <v>0</v>
      </c>
      <c r="J28" s="1909">
        <v>0</v>
      </c>
      <c r="K28" s="1910">
        <v>0</v>
      </c>
    </row>
    <row r="29" spans="1:11" ht="12.75" customHeight="1" x14ac:dyDescent="0.25">
      <c r="A29" s="250" t="str">
        <f t="shared" si="1"/>
        <v>Bankers Acceptances</v>
      </c>
      <c r="B29" s="182"/>
      <c r="C29" s="1909"/>
      <c r="D29" s="1909">
        <v>0</v>
      </c>
      <c r="E29" s="1910">
        <v>0</v>
      </c>
      <c r="F29" s="1911">
        <v>0</v>
      </c>
      <c r="G29" s="1909">
        <v>0</v>
      </c>
      <c r="H29" s="1912">
        <v>0</v>
      </c>
      <c r="I29" s="1913">
        <v>0</v>
      </c>
      <c r="J29" s="1909">
        <v>0</v>
      </c>
      <c r="K29" s="1910">
        <v>0</v>
      </c>
    </row>
    <row r="30" spans="1:11" ht="12.75" customHeight="1" x14ac:dyDescent="0.25">
      <c r="A30" s="250" t="str">
        <f t="shared" si="1"/>
        <v>Financial derivatives</v>
      </c>
      <c r="B30" s="182"/>
      <c r="C30" s="1909"/>
      <c r="D30" s="1909">
        <v>0</v>
      </c>
      <c r="E30" s="1910">
        <v>0</v>
      </c>
      <c r="F30" s="1911">
        <v>0</v>
      </c>
      <c r="G30" s="1909">
        <v>0</v>
      </c>
      <c r="H30" s="1912">
        <v>0</v>
      </c>
      <c r="I30" s="1913">
        <v>0</v>
      </c>
      <c r="J30" s="1909">
        <v>0</v>
      </c>
      <c r="K30" s="1910">
        <v>0</v>
      </c>
    </row>
    <row r="31" spans="1:11" ht="12.75" customHeight="1" x14ac:dyDescent="0.25">
      <c r="A31" s="250" t="str">
        <f t="shared" si="1"/>
        <v>Other Securities</v>
      </c>
      <c r="B31" s="182"/>
      <c r="C31" s="1909"/>
      <c r="D31" s="1909">
        <v>0</v>
      </c>
      <c r="E31" s="1910">
        <v>0</v>
      </c>
      <c r="F31" s="1911">
        <v>0</v>
      </c>
      <c r="G31" s="1909">
        <v>0</v>
      </c>
      <c r="H31" s="1912">
        <v>0</v>
      </c>
      <c r="I31" s="1913">
        <v>0</v>
      </c>
      <c r="J31" s="1909">
        <v>0</v>
      </c>
      <c r="K31" s="1910">
        <v>0</v>
      </c>
    </row>
    <row r="32" spans="1:11" ht="12.75" customHeight="1" x14ac:dyDescent="0.25">
      <c r="A32" s="265" t="s">
        <v>176</v>
      </c>
      <c r="B32" s="182">
        <v>1</v>
      </c>
      <c r="C32" s="716">
        <f>SUM(C20:C31)</f>
        <v>0</v>
      </c>
      <c r="D32" s="716">
        <f t="shared" ref="D32:K32" si="2">SUM(D20:D31)</f>
        <v>0</v>
      </c>
      <c r="E32" s="717">
        <f t="shared" si="2"/>
        <v>0</v>
      </c>
      <c r="F32" s="718">
        <f t="shared" si="2"/>
        <v>0</v>
      </c>
      <c r="G32" s="716">
        <f t="shared" si="2"/>
        <v>0</v>
      </c>
      <c r="H32" s="719">
        <f t="shared" si="2"/>
        <v>0</v>
      </c>
      <c r="I32" s="720">
        <f t="shared" si="2"/>
        <v>0</v>
      </c>
      <c r="J32" s="716">
        <f t="shared" si="2"/>
        <v>0</v>
      </c>
      <c r="K32" s="717">
        <f t="shared" si="2"/>
        <v>0</v>
      </c>
    </row>
    <row r="33" spans="1:45" ht="12.75" customHeight="1" x14ac:dyDescent="0.25">
      <c r="A33" s="273"/>
      <c r="B33" s="182"/>
      <c r="C33" s="714"/>
      <c r="D33" s="714"/>
      <c r="E33" s="710"/>
      <c r="F33" s="711"/>
      <c r="G33" s="714"/>
      <c r="H33" s="712"/>
      <c r="I33" s="715"/>
      <c r="J33" s="714"/>
      <c r="K33" s="710"/>
    </row>
    <row r="34" spans="1:45" ht="12.75" customHeight="1" x14ac:dyDescent="0.25">
      <c r="A34" s="281" t="s">
        <v>1355</v>
      </c>
      <c r="B34" s="225">
        <v>1</v>
      </c>
      <c r="C34" s="727">
        <f>C17+C32</f>
        <v>0</v>
      </c>
      <c r="D34" s="727">
        <f t="shared" ref="D34:K34" si="3">D17+D32</f>
        <v>0</v>
      </c>
      <c r="E34" s="728">
        <f t="shared" si="3"/>
        <v>0</v>
      </c>
      <c r="F34" s="729">
        <f t="shared" si="3"/>
        <v>0</v>
      </c>
      <c r="G34" s="727">
        <f t="shared" si="3"/>
        <v>0</v>
      </c>
      <c r="H34" s="730">
        <f t="shared" si="3"/>
        <v>0</v>
      </c>
      <c r="I34" s="731">
        <f t="shared" si="3"/>
        <v>0</v>
      </c>
      <c r="J34" s="727">
        <f t="shared" si="3"/>
        <v>0</v>
      </c>
      <c r="K34" s="728">
        <f t="shared" si="3"/>
        <v>0</v>
      </c>
    </row>
    <row r="35" spans="1:45" ht="12.75" customHeight="1" x14ac:dyDescent="0.25">
      <c r="A35" s="1554"/>
      <c r="B35" s="651"/>
      <c r="C35" s="749"/>
      <c r="D35" s="749"/>
      <c r="E35" s="749"/>
      <c r="F35" s="749"/>
      <c r="G35" s="749"/>
      <c r="H35" s="749"/>
      <c r="I35" s="749"/>
      <c r="J35" s="749"/>
      <c r="K35" s="749"/>
    </row>
    <row r="36" spans="1:45" ht="18.75" customHeight="1" x14ac:dyDescent="0.25">
      <c r="A36" s="991" t="s">
        <v>2183</v>
      </c>
      <c r="B36" s="418"/>
      <c r="C36" s="631"/>
      <c r="D36" s="631"/>
      <c r="E36" s="922"/>
      <c r="F36" s="2146"/>
      <c r="G36" s="418"/>
      <c r="H36" s="992"/>
      <c r="I36" s="2437"/>
      <c r="J36" s="2435"/>
      <c r="K36" s="2436"/>
      <c r="L36" s="246"/>
      <c r="M36" s="246"/>
      <c r="N36" s="246"/>
    </row>
    <row r="37" spans="1:45" ht="12.75" customHeight="1" x14ac:dyDescent="0.25">
      <c r="A37" s="249" t="s">
        <v>178</v>
      </c>
      <c r="B37" s="182"/>
      <c r="C37" s="714"/>
      <c r="D37" s="714"/>
      <c r="E37" s="745"/>
      <c r="F37" s="715"/>
      <c r="G37" s="714"/>
      <c r="H37" s="739"/>
      <c r="I37" s="2434"/>
      <c r="J37" s="714"/>
      <c r="K37" s="739"/>
    </row>
    <row r="38" spans="1:45" ht="11.25" customHeight="1" x14ac:dyDescent="0.25">
      <c r="A38" s="250" t="s">
        <v>103</v>
      </c>
      <c r="B38" s="182"/>
      <c r="C38" s="1909"/>
      <c r="D38" s="1909"/>
      <c r="E38" s="1910"/>
      <c r="F38" s="1911"/>
      <c r="G38" s="1909"/>
      <c r="H38" s="1912"/>
      <c r="I38" s="1913"/>
      <c r="J38" s="1909"/>
      <c r="K38" s="1910"/>
      <c r="L38" s="369"/>
    </row>
    <row r="39" spans="1:45" ht="11.25" customHeight="1" x14ac:dyDescent="0.25">
      <c r="A39" s="250" t="s">
        <v>293</v>
      </c>
      <c r="B39" s="182"/>
      <c r="C39" s="1909"/>
      <c r="D39" s="1909"/>
      <c r="E39" s="1910"/>
      <c r="F39" s="1911"/>
      <c r="G39" s="1909"/>
      <c r="H39" s="1912"/>
      <c r="I39" s="1913"/>
      <c r="J39" s="1909"/>
      <c r="K39" s="1910"/>
    </row>
    <row r="40" spans="1:45" ht="11.25" customHeight="1" x14ac:dyDescent="0.25">
      <c r="A40" s="250" t="s">
        <v>104</v>
      </c>
      <c r="B40" s="182"/>
      <c r="C40" s="1909"/>
      <c r="D40" s="1909"/>
      <c r="E40" s="1910"/>
      <c r="F40" s="1911"/>
      <c r="G40" s="1909"/>
      <c r="H40" s="1912"/>
      <c r="I40" s="1913"/>
      <c r="J40" s="1909"/>
      <c r="K40" s="1910"/>
    </row>
    <row r="41" spans="1:45" ht="11.25" customHeight="1" x14ac:dyDescent="0.25">
      <c r="A41" s="250" t="s">
        <v>555</v>
      </c>
      <c r="B41" s="182"/>
      <c r="C41" s="1909"/>
      <c r="D41" s="1909"/>
      <c r="E41" s="1910"/>
      <c r="F41" s="1911"/>
      <c r="G41" s="1909"/>
      <c r="H41" s="1912"/>
      <c r="I41" s="1913"/>
      <c r="J41" s="1909"/>
      <c r="K41" s="1910"/>
      <c r="AQ41" s="149">
        <v>439005000</v>
      </c>
      <c r="AS41" s="149">
        <v>539442200</v>
      </c>
    </row>
    <row r="42" spans="1:45" ht="11.25" customHeight="1" x14ac:dyDescent="0.25">
      <c r="A42" s="250" t="s">
        <v>556</v>
      </c>
      <c r="B42" s="182"/>
      <c r="C42" s="1909"/>
      <c r="D42" s="1909"/>
      <c r="E42" s="1910"/>
      <c r="F42" s="1911"/>
      <c r="G42" s="1909"/>
      <c r="H42" s="1912"/>
      <c r="I42" s="1913"/>
      <c r="J42" s="1909"/>
      <c r="K42" s="1910"/>
    </row>
    <row r="43" spans="1:45" ht="11.25" customHeight="1" x14ac:dyDescent="0.25">
      <c r="A43" s="250" t="s">
        <v>778</v>
      </c>
      <c r="B43" s="182"/>
      <c r="C43" s="1909"/>
      <c r="D43" s="1909"/>
      <c r="E43" s="1910"/>
      <c r="F43" s="1911"/>
      <c r="G43" s="1909"/>
      <c r="H43" s="1912"/>
      <c r="I43" s="1913"/>
      <c r="J43" s="1909"/>
      <c r="K43" s="1910"/>
      <c r="W43" s="149">
        <v>0</v>
      </c>
      <c r="Y43" s="149">
        <v>0</v>
      </c>
      <c r="AB43" s="149">
        <v>0</v>
      </c>
      <c r="AD43" s="149">
        <v>0</v>
      </c>
      <c r="AG43" s="149">
        <v>0</v>
      </c>
      <c r="AI43" s="149">
        <v>0</v>
      </c>
      <c r="AL43" s="149">
        <v>0</v>
      </c>
      <c r="AN43" s="149">
        <v>0</v>
      </c>
      <c r="AQ43" s="149">
        <v>1834701353</v>
      </c>
      <c r="AS43" s="149">
        <v>1241876995</v>
      </c>
    </row>
    <row r="44" spans="1:45" ht="11.25" customHeight="1" x14ac:dyDescent="0.25">
      <c r="A44" s="250" t="s">
        <v>106</v>
      </c>
      <c r="B44" s="182"/>
      <c r="C44" s="1909"/>
      <c r="D44" s="1909"/>
      <c r="E44" s="1910"/>
      <c r="F44" s="1911"/>
      <c r="G44" s="1909"/>
      <c r="H44" s="1912"/>
      <c r="I44" s="1913"/>
      <c r="J44" s="1909"/>
      <c r="K44" s="1910"/>
      <c r="AQ44" s="149">
        <v>839041298</v>
      </c>
      <c r="AS44" s="149">
        <v>440387617</v>
      </c>
    </row>
    <row r="45" spans="1:45" ht="11.25" customHeight="1" x14ac:dyDescent="0.25">
      <c r="A45" s="250" t="s">
        <v>107</v>
      </c>
      <c r="B45" s="182"/>
      <c r="C45" s="1909"/>
      <c r="D45" s="1909"/>
      <c r="E45" s="1910"/>
      <c r="F45" s="1911"/>
      <c r="G45" s="1909"/>
      <c r="H45" s="1912"/>
      <c r="I45" s="1913"/>
      <c r="J45" s="1909"/>
      <c r="K45" s="1910"/>
      <c r="AQ45" s="149">
        <v>976543638</v>
      </c>
      <c r="AS45" s="149">
        <v>782372961</v>
      </c>
    </row>
    <row r="46" spans="1:45" ht="11.25" customHeight="1" x14ac:dyDescent="0.25">
      <c r="A46" s="250" t="s">
        <v>108</v>
      </c>
      <c r="B46" s="182"/>
      <c r="C46" s="1909"/>
      <c r="D46" s="1909"/>
      <c r="E46" s="1910"/>
      <c r="F46" s="1911"/>
      <c r="G46" s="1909"/>
      <c r="H46" s="1912"/>
      <c r="I46" s="1913"/>
      <c r="J46" s="1909"/>
      <c r="K46" s="1910"/>
      <c r="AQ46" s="149">
        <v>19116417</v>
      </c>
      <c r="AS46" s="149">
        <v>19116417</v>
      </c>
    </row>
    <row r="47" spans="1:45" ht="11.25" customHeight="1" x14ac:dyDescent="0.25">
      <c r="A47" s="250" t="s">
        <v>109</v>
      </c>
      <c r="B47" s="182"/>
      <c r="C47" s="1909"/>
      <c r="D47" s="1909"/>
      <c r="E47" s="1910"/>
      <c r="F47" s="1911"/>
      <c r="G47" s="1909"/>
      <c r="H47" s="1912"/>
      <c r="I47" s="1913"/>
      <c r="J47" s="1909"/>
      <c r="K47" s="1910"/>
      <c r="AQ47" s="149">
        <v>2273706353</v>
      </c>
      <c r="AS47" s="149">
        <v>1781319195</v>
      </c>
    </row>
    <row r="48" spans="1:45" ht="11.25" customHeight="1" x14ac:dyDescent="0.25">
      <c r="A48" s="250" t="s">
        <v>779</v>
      </c>
      <c r="B48" s="182"/>
      <c r="C48" s="1909"/>
      <c r="D48" s="1909"/>
      <c r="E48" s="1910"/>
      <c r="F48" s="1911"/>
      <c r="G48" s="1909"/>
      <c r="H48" s="1912"/>
      <c r="I48" s="1913"/>
      <c r="J48" s="1909"/>
      <c r="K48" s="1910"/>
      <c r="AQ48" s="149">
        <v>180259232</v>
      </c>
      <c r="AS48" s="149">
        <v>140396729</v>
      </c>
    </row>
    <row r="49" spans="1:45" ht="11.25" customHeight="1" x14ac:dyDescent="0.25">
      <c r="A49" s="250" t="s">
        <v>110</v>
      </c>
      <c r="B49" s="182"/>
      <c r="C49" s="1909"/>
      <c r="D49" s="1909"/>
      <c r="E49" s="1910"/>
      <c r="F49" s="1911"/>
      <c r="G49" s="1909"/>
      <c r="H49" s="1912"/>
      <c r="I49" s="1913"/>
      <c r="J49" s="1909"/>
      <c r="K49" s="1910"/>
      <c r="AQ49" s="149">
        <v>125005000</v>
      </c>
      <c r="AS49" s="149">
        <v>100442200</v>
      </c>
    </row>
    <row r="50" spans="1:45" ht="11.25" customHeight="1" x14ac:dyDescent="0.25">
      <c r="A50" s="265" t="s">
        <v>177</v>
      </c>
      <c r="B50" s="182">
        <v>1</v>
      </c>
      <c r="C50" s="716">
        <f>SUM(C38:C49)</f>
        <v>0</v>
      </c>
      <c r="D50" s="716">
        <f t="shared" ref="D50:K50" si="4">SUM(D38:D49)</f>
        <v>0</v>
      </c>
      <c r="E50" s="717">
        <f t="shared" si="4"/>
        <v>0</v>
      </c>
      <c r="F50" s="718">
        <f t="shared" si="4"/>
        <v>0</v>
      </c>
      <c r="G50" s="716">
        <f t="shared" si="4"/>
        <v>0</v>
      </c>
      <c r="H50" s="719">
        <f t="shared" si="4"/>
        <v>0</v>
      </c>
      <c r="I50" s="720">
        <f t="shared" si="4"/>
        <v>0</v>
      </c>
      <c r="J50" s="716">
        <f t="shared" si="4"/>
        <v>0</v>
      </c>
      <c r="K50" s="717">
        <f t="shared" si="4"/>
        <v>0</v>
      </c>
      <c r="AQ50" s="149">
        <v>40341797</v>
      </c>
      <c r="AS50" s="149">
        <v>38954529</v>
      </c>
    </row>
    <row r="51" spans="1:45" ht="11.25" customHeight="1" x14ac:dyDescent="0.25">
      <c r="A51" s="265"/>
      <c r="B51" s="182"/>
      <c r="C51" s="746"/>
      <c r="D51" s="746"/>
      <c r="E51" s="747"/>
      <c r="F51" s="748"/>
      <c r="G51" s="746"/>
      <c r="H51" s="749"/>
      <c r="I51" s="750"/>
      <c r="J51" s="746"/>
      <c r="K51" s="747"/>
      <c r="AQ51" s="149">
        <v>14912435</v>
      </c>
      <c r="AS51" s="149">
        <v>1000000</v>
      </c>
    </row>
    <row r="52" spans="1:45" ht="11.25" customHeight="1" x14ac:dyDescent="0.25">
      <c r="A52" s="249" t="s">
        <v>675</v>
      </c>
      <c r="B52" s="182"/>
      <c r="C52" s="714"/>
      <c r="D52" s="714"/>
      <c r="E52" s="710"/>
      <c r="F52" s="711"/>
      <c r="G52" s="714"/>
      <c r="H52" s="712"/>
      <c r="I52" s="715"/>
      <c r="J52" s="714"/>
      <c r="K52" s="710"/>
    </row>
    <row r="53" spans="1:45" ht="11.25" customHeight="1" x14ac:dyDescent="0.25">
      <c r="A53" s="250" t="str">
        <f t="shared" ref="A53:A64" si="5">A38</f>
        <v>Long-Term Loans (annuity/reducing balance)</v>
      </c>
      <c r="B53" s="182"/>
      <c r="C53" s="1909"/>
      <c r="D53" s="1909"/>
      <c r="E53" s="1910"/>
      <c r="F53" s="1911"/>
      <c r="G53" s="1909"/>
      <c r="H53" s="1912"/>
      <c r="I53" s="1913"/>
      <c r="J53" s="1909"/>
      <c r="K53" s="1910"/>
    </row>
    <row r="54" spans="1:45" ht="11.25" customHeight="1" x14ac:dyDescent="0.25">
      <c r="A54" s="250" t="str">
        <f t="shared" si="5"/>
        <v>Long-Term Loans (non-annuity)</v>
      </c>
      <c r="B54" s="182"/>
      <c r="C54" s="1909"/>
      <c r="D54" s="1909"/>
      <c r="E54" s="1910"/>
      <c r="F54" s="1911"/>
      <c r="G54" s="1909"/>
      <c r="H54" s="1912"/>
      <c r="I54" s="1913"/>
      <c r="J54" s="1909"/>
      <c r="K54" s="1910"/>
    </row>
    <row r="55" spans="1:45" ht="11.25" customHeight="1" x14ac:dyDescent="0.25">
      <c r="A55" s="250" t="str">
        <f t="shared" si="5"/>
        <v>Local registered stock</v>
      </c>
      <c r="B55" s="182"/>
      <c r="C55" s="1909"/>
      <c r="D55" s="1909"/>
      <c r="E55" s="1910"/>
      <c r="F55" s="1911"/>
      <c r="G55" s="1909"/>
      <c r="H55" s="1912"/>
      <c r="I55" s="1913"/>
      <c r="J55" s="1909"/>
      <c r="K55" s="1910"/>
    </row>
    <row r="56" spans="1:45" ht="11.25" customHeight="1" x14ac:dyDescent="0.25">
      <c r="A56" s="250" t="str">
        <f t="shared" si="5"/>
        <v>Instalment Credit</v>
      </c>
      <c r="B56" s="182"/>
      <c r="C56" s="1909"/>
      <c r="D56" s="1909"/>
      <c r="E56" s="1910"/>
      <c r="F56" s="1911"/>
      <c r="G56" s="1909"/>
      <c r="H56" s="1912"/>
      <c r="I56" s="1913"/>
      <c r="J56" s="1909"/>
      <c r="K56" s="1910"/>
    </row>
    <row r="57" spans="1:45" ht="11.25" customHeight="1" x14ac:dyDescent="0.25">
      <c r="A57" s="250" t="str">
        <f t="shared" si="5"/>
        <v>Financial Leases</v>
      </c>
      <c r="B57" s="182"/>
      <c r="C57" s="1909"/>
      <c r="D57" s="1909"/>
      <c r="E57" s="1910"/>
      <c r="F57" s="1911"/>
      <c r="G57" s="1909"/>
      <c r="H57" s="1912"/>
      <c r="I57" s="1913"/>
      <c r="J57" s="1909"/>
      <c r="K57" s="1910"/>
    </row>
    <row r="58" spans="1:45" ht="11.25" customHeight="1" x14ac:dyDescent="0.25">
      <c r="A58" s="250" t="str">
        <f t="shared" si="5"/>
        <v>PPP liabilities</v>
      </c>
      <c r="B58" s="182"/>
      <c r="C58" s="1909"/>
      <c r="D58" s="1909"/>
      <c r="E58" s="1910"/>
      <c r="F58" s="1911"/>
      <c r="G58" s="1909"/>
      <c r="H58" s="1912"/>
      <c r="I58" s="1913"/>
      <c r="J58" s="1909"/>
      <c r="K58" s="1910"/>
    </row>
    <row r="59" spans="1:45" ht="11.25" customHeight="1" x14ac:dyDescent="0.25">
      <c r="A59" s="250" t="str">
        <f t="shared" si="5"/>
        <v>Finance Granted By Cap Equipment Supplier</v>
      </c>
      <c r="B59" s="182"/>
      <c r="C59" s="1909"/>
      <c r="D59" s="1909"/>
      <c r="E59" s="1910"/>
      <c r="F59" s="1911"/>
      <c r="G59" s="1909"/>
      <c r="H59" s="1912"/>
      <c r="I59" s="1913"/>
      <c r="J59" s="1909"/>
      <c r="K59" s="1910"/>
    </row>
    <row r="60" spans="1:45" ht="11.25" customHeight="1" x14ac:dyDescent="0.25">
      <c r="A60" s="250" t="str">
        <f t="shared" si="5"/>
        <v>Marketable Bonds</v>
      </c>
      <c r="B60" s="182"/>
      <c r="C60" s="1909"/>
      <c r="D60" s="1909"/>
      <c r="E60" s="1910"/>
      <c r="F60" s="1911"/>
      <c r="G60" s="1909"/>
      <c r="H60" s="1912"/>
      <c r="I60" s="1913"/>
      <c r="J60" s="1909"/>
      <c r="K60" s="1910"/>
    </row>
    <row r="61" spans="1:45" ht="11.25" customHeight="1" x14ac:dyDescent="0.25">
      <c r="A61" s="250" t="str">
        <f t="shared" si="5"/>
        <v>Non-Marketable Bonds</v>
      </c>
      <c r="B61" s="182"/>
      <c r="C61" s="1909"/>
      <c r="D61" s="1909"/>
      <c r="E61" s="1910"/>
      <c r="F61" s="1911"/>
      <c r="G61" s="1909"/>
      <c r="H61" s="1912"/>
      <c r="I61" s="1913"/>
      <c r="J61" s="1909"/>
      <c r="K61" s="1910"/>
    </row>
    <row r="62" spans="1:45" ht="11.25" customHeight="1" x14ac:dyDescent="0.25">
      <c r="A62" s="250" t="str">
        <f t="shared" si="5"/>
        <v>Bankers Acceptances</v>
      </c>
      <c r="B62" s="182"/>
      <c r="C62" s="1909"/>
      <c r="D62" s="1909"/>
      <c r="E62" s="1910"/>
      <c r="F62" s="1911"/>
      <c r="G62" s="1909"/>
      <c r="H62" s="1912"/>
      <c r="I62" s="1913"/>
      <c r="J62" s="1909"/>
      <c r="K62" s="1910"/>
    </row>
    <row r="63" spans="1:45" ht="11.25" customHeight="1" x14ac:dyDescent="0.25">
      <c r="A63" s="250" t="str">
        <f t="shared" si="5"/>
        <v>Financial derivatives</v>
      </c>
      <c r="B63" s="182"/>
      <c r="C63" s="1909"/>
      <c r="D63" s="1909"/>
      <c r="E63" s="1910"/>
      <c r="F63" s="1911"/>
      <c r="G63" s="1909"/>
      <c r="H63" s="1912"/>
      <c r="I63" s="1913"/>
      <c r="J63" s="1909"/>
      <c r="K63" s="1910"/>
    </row>
    <row r="64" spans="1:45" ht="11.25" customHeight="1" x14ac:dyDescent="0.25">
      <c r="A64" s="250" t="str">
        <f t="shared" si="5"/>
        <v>Other Securities</v>
      </c>
      <c r="B64" s="182"/>
      <c r="C64" s="1909"/>
      <c r="D64" s="1909"/>
      <c r="E64" s="1910"/>
      <c r="F64" s="1911"/>
      <c r="G64" s="1909"/>
      <c r="H64" s="1912"/>
      <c r="I64" s="1913"/>
      <c r="J64" s="1909"/>
      <c r="K64" s="1910"/>
    </row>
    <row r="65" spans="1:11" ht="11.25" customHeight="1" x14ac:dyDescent="0.25">
      <c r="A65" s="265" t="s">
        <v>176</v>
      </c>
      <c r="B65" s="182">
        <v>1</v>
      </c>
      <c r="C65" s="716">
        <f>SUM(C53:C64)</f>
        <v>0</v>
      </c>
      <c r="D65" s="716">
        <f t="shared" ref="D65:K65" si="6">SUM(D53:D64)</f>
        <v>0</v>
      </c>
      <c r="E65" s="717">
        <f t="shared" si="6"/>
        <v>0</v>
      </c>
      <c r="F65" s="718">
        <f t="shared" si="6"/>
        <v>0</v>
      </c>
      <c r="G65" s="716">
        <f t="shared" si="6"/>
        <v>0</v>
      </c>
      <c r="H65" s="719">
        <f t="shared" si="6"/>
        <v>0</v>
      </c>
      <c r="I65" s="720">
        <f t="shared" si="6"/>
        <v>0</v>
      </c>
      <c r="J65" s="716">
        <f t="shared" si="6"/>
        <v>0</v>
      </c>
      <c r="K65" s="717">
        <f t="shared" si="6"/>
        <v>0</v>
      </c>
    </row>
    <row r="66" spans="1:11" ht="11.25" customHeight="1" x14ac:dyDescent="0.25">
      <c r="A66" s="273"/>
      <c r="B66" s="182"/>
      <c r="C66" s="714"/>
      <c r="D66" s="714"/>
      <c r="E66" s="710"/>
      <c r="F66" s="711"/>
      <c r="G66" s="714"/>
      <c r="H66" s="712"/>
      <c r="I66" s="715"/>
      <c r="J66" s="714"/>
      <c r="K66" s="710"/>
    </row>
    <row r="67" spans="1:11" ht="11.25" customHeight="1" x14ac:dyDescent="0.25">
      <c r="A67" s="281" t="s">
        <v>2184</v>
      </c>
      <c r="B67" s="225">
        <v>1</v>
      </c>
      <c r="C67" s="727">
        <f>C50+C65</f>
        <v>0</v>
      </c>
      <c r="D67" s="727">
        <f t="shared" ref="D67:K67" si="7">D50+D65</f>
        <v>0</v>
      </c>
      <c r="E67" s="728">
        <f t="shared" si="7"/>
        <v>0</v>
      </c>
      <c r="F67" s="729">
        <f t="shared" si="7"/>
        <v>0</v>
      </c>
      <c r="G67" s="727">
        <f t="shared" si="7"/>
        <v>0</v>
      </c>
      <c r="H67" s="730">
        <f t="shared" si="7"/>
        <v>0</v>
      </c>
      <c r="I67" s="731">
        <f t="shared" si="7"/>
        <v>0</v>
      </c>
      <c r="J67" s="727">
        <f t="shared" si="7"/>
        <v>0</v>
      </c>
      <c r="K67" s="728">
        <f t="shared" si="7"/>
        <v>0</v>
      </c>
    </row>
    <row r="68" spans="1:11" ht="11.25" customHeight="1" x14ac:dyDescent="0.25">
      <c r="A68" s="246"/>
      <c r="B68" s="236"/>
      <c r="C68" s="309"/>
      <c r="D68" s="309"/>
      <c r="E68" s="309"/>
      <c r="F68" s="309"/>
      <c r="G68" s="309"/>
      <c r="H68" s="309"/>
      <c r="I68" s="309"/>
      <c r="J68" s="309"/>
      <c r="K68" s="309"/>
    </row>
    <row r="69" spans="1:11" ht="11.25" customHeight="1" x14ac:dyDescent="0.25">
      <c r="A69" s="235" t="str">
        <f>head27a</f>
        <v>References</v>
      </c>
      <c r="B69" s="236"/>
      <c r="C69" s="309"/>
      <c r="D69" s="309"/>
      <c r="E69" s="309"/>
      <c r="F69" s="309"/>
      <c r="G69" s="309"/>
      <c r="H69" s="309"/>
      <c r="I69" s="309"/>
      <c r="J69" s="309"/>
      <c r="K69" s="309"/>
    </row>
    <row r="70" spans="1:11" ht="11.25" customHeight="1" x14ac:dyDescent="0.25">
      <c r="A70" s="287" t="s">
        <v>1268</v>
      </c>
      <c r="B70" s="236"/>
      <c r="C70" s="241"/>
      <c r="D70" s="240"/>
      <c r="E70" s="241"/>
      <c r="F70" s="241"/>
      <c r="G70" s="241"/>
      <c r="H70" s="241"/>
      <c r="I70" s="241"/>
      <c r="J70" s="241"/>
      <c r="K70" s="241"/>
    </row>
    <row r="71" spans="1:11" ht="11.25" customHeight="1" x14ac:dyDescent="0.25">
      <c r="A71" s="288" t="s">
        <v>554</v>
      </c>
      <c r="B71" s="236"/>
      <c r="C71" s="437">
        <f>C34-'A6-FinPos'!C37</f>
        <v>0</v>
      </c>
      <c r="D71" s="437">
        <f>D34-'A6-FinPos'!D37</f>
        <v>0</v>
      </c>
      <c r="E71" s="437">
        <f>E34-'A6-FinPos'!E37</f>
        <v>0</v>
      </c>
      <c r="F71" s="437">
        <f>F34-'A6-FinPos'!F37</f>
        <v>0</v>
      </c>
      <c r="G71" s="437">
        <f>G34-'A6-FinPos'!G37</f>
        <v>0</v>
      </c>
      <c r="H71" s="437">
        <f>H34-'A6-FinPos'!H37</f>
        <v>0</v>
      </c>
      <c r="I71" s="437">
        <f>I34-'A6-FinPos'!J37</f>
        <v>0</v>
      </c>
      <c r="J71" s="437">
        <f>J34-'A6-FinPos'!K37</f>
        <v>0</v>
      </c>
      <c r="K71" s="437">
        <f>K34-'A6-FinPos'!L37</f>
        <v>0</v>
      </c>
    </row>
    <row r="72" spans="1:11" ht="11.25" customHeight="1" x14ac:dyDescent="0.25">
      <c r="F72" s="310"/>
    </row>
  </sheetData>
  <sheetProtection sheet="1" objects="1" scenarios="1"/>
  <customSheetViews>
    <customSheetView guid="{F50C5479-5CC4-4FD7-8319-543D29E829F0}" showGridLines="0" fitToPage="1">
      <pane xSplit="2" ySplit="3" topLeftCell="D6" activePane="bottomRight" state="frozen"/>
      <selection pane="bottomRight" activeCell="F35" sqref="F35"/>
      <pageMargins left="0" right="0" top="0.78740157480314965" bottom="0.59055118110236227" header="0.51181102362204722" footer="0.39370078740157483"/>
      <printOptions horizontalCentered="1"/>
      <pageSetup paperSize="9" scale="86" orientation="portrait" r:id="rId1"/>
      <headerFooter alignWithMargins="0"/>
    </customSheetView>
  </customSheetViews>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6" orientation="portrait" r:id="rId2"/>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42"/>
    <pageSetUpPr fitToPage="1"/>
  </sheetPr>
  <dimension ref="A1:O86"/>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E36" sqref="E36"/>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 TableA18</f>
        <v>MP315 Thembisile Hani - Supporting Table SA18 Transfers and grant receipts</v>
      </c>
      <c r="B1" s="147"/>
      <c r="C1" s="147"/>
      <c r="D1" s="147"/>
      <c r="E1" s="147"/>
      <c r="F1" s="147"/>
      <c r="G1" s="147"/>
      <c r="H1" s="147"/>
      <c r="I1" s="147"/>
      <c r="J1" s="147"/>
      <c r="K1" s="147"/>
    </row>
    <row r="2" spans="1:12"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71"/>
      <c r="I2" s="2763" t="str">
        <f>Head3</f>
        <v>2015/16 Medium Term Revenue &amp; Expenditure Framework</v>
      </c>
      <c r="J2" s="2764"/>
      <c r="K2" s="2765"/>
    </row>
    <row r="3" spans="1:12" ht="25.5" x14ac:dyDescent="0.25">
      <c r="A3" s="180" t="s">
        <v>662</v>
      </c>
      <c r="B3" s="985"/>
      <c r="C3" s="389" t="str">
        <f>Head5</f>
        <v>Audited Outcome</v>
      </c>
      <c r="D3" s="994"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2" ht="11.25" customHeight="1" x14ac:dyDescent="0.25">
      <c r="A4" s="265" t="s">
        <v>1269</v>
      </c>
      <c r="B4" s="744" t="s">
        <v>1521</v>
      </c>
      <c r="C4" s="752"/>
      <c r="D4" s="752"/>
      <c r="E4" s="753"/>
      <c r="F4" s="754"/>
      <c r="G4" s="752"/>
      <c r="H4" s="755"/>
      <c r="I4" s="756"/>
      <c r="J4" s="752"/>
      <c r="K4" s="753"/>
    </row>
    <row r="5" spans="1:12" ht="5.0999999999999996" customHeight="1" x14ac:dyDescent="0.25">
      <c r="A5" s="249"/>
      <c r="B5" s="182"/>
      <c r="C5" s="746"/>
      <c r="D5" s="746"/>
      <c r="E5" s="747"/>
      <c r="F5" s="748"/>
      <c r="G5" s="746"/>
      <c r="H5" s="749"/>
      <c r="I5" s="750"/>
      <c r="J5" s="746"/>
      <c r="K5" s="747"/>
    </row>
    <row r="6" spans="1:12" ht="11.25" customHeight="1" x14ac:dyDescent="0.25">
      <c r="A6" s="249" t="s">
        <v>361</v>
      </c>
      <c r="B6" s="182"/>
      <c r="C6" s="746"/>
      <c r="D6" s="746"/>
      <c r="E6" s="747"/>
      <c r="F6" s="748"/>
      <c r="G6" s="746"/>
      <c r="H6" s="749"/>
      <c r="I6" s="750"/>
      <c r="J6" s="746"/>
      <c r="K6" s="747"/>
    </row>
    <row r="7" spans="1:12" ht="18" customHeight="1" x14ac:dyDescent="0.25">
      <c r="A7" s="372" t="s">
        <v>1018</v>
      </c>
      <c r="B7" s="182"/>
      <c r="C7" s="746">
        <f>SUM(C8:C14)</f>
        <v>176722000</v>
      </c>
      <c r="D7" s="746">
        <f t="shared" ref="D7:K7" si="0">SUM(D8:D14)</f>
        <v>226477000</v>
      </c>
      <c r="E7" s="747">
        <f t="shared" si="0"/>
        <v>247290000</v>
      </c>
      <c r="F7" s="748">
        <f t="shared" si="0"/>
        <v>276515000</v>
      </c>
      <c r="G7" s="746">
        <f t="shared" si="0"/>
        <v>16591000</v>
      </c>
      <c r="H7" s="749">
        <f t="shared" si="0"/>
        <v>16591000</v>
      </c>
      <c r="I7" s="750">
        <f t="shared" si="0"/>
        <v>309291000</v>
      </c>
      <c r="J7" s="746">
        <f t="shared" si="0"/>
        <v>327539169</v>
      </c>
      <c r="K7" s="747">
        <f t="shared" si="0"/>
        <v>345881362.46400005</v>
      </c>
    </row>
    <row r="8" spans="1:12" ht="11.25" customHeight="1" x14ac:dyDescent="0.25">
      <c r="A8" s="1267" t="s">
        <v>1922</v>
      </c>
      <c r="B8" s="182" t="str">
        <f t="shared" ref="B8:B13" si="1">IF(A8="  Levy replacement",3,"")</f>
        <v/>
      </c>
      <c r="C8" s="1918">
        <v>172932000</v>
      </c>
      <c r="D8" s="1918">
        <v>218428000</v>
      </c>
      <c r="E8" s="1919">
        <v>237008000</v>
      </c>
      <c r="F8" s="1920">
        <v>259924000</v>
      </c>
      <c r="G8" s="1918"/>
      <c r="H8" s="1921"/>
      <c r="I8" s="1922">
        <f>A3A!I47</f>
        <v>288644000</v>
      </c>
      <c r="J8" s="1918">
        <f>I8*1.059</f>
        <v>305673996</v>
      </c>
      <c r="K8" s="1919">
        <f>J8*1.056</f>
        <v>322791739.77600002</v>
      </c>
    </row>
    <row r="9" spans="1:12" ht="11.25" customHeight="1" x14ac:dyDescent="0.25">
      <c r="A9" s="1917" t="s">
        <v>1920</v>
      </c>
      <c r="B9" s="182" t="str">
        <f t="shared" si="1"/>
        <v/>
      </c>
      <c r="C9" s="1909">
        <v>3000000</v>
      </c>
      <c r="D9" s="1909">
        <v>1250000</v>
      </c>
      <c r="E9" s="1910">
        <v>1550000</v>
      </c>
      <c r="F9" s="1911">
        <v>1600000</v>
      </c>
      <c r="G9" s="1909">
        <v>1600000</v>
      </c>
      <c r="H9" s="1912">
        <v>1600000</v>
      </c>
      <c r="I9" s="1913">
        <f>A3A!I46</f>
        <v>1600000</v>
      </c>
      <c r="J9" s="1918">
        <f t="shared" ref="J9:J14" si="2">I9*1.059</f>
        <v>1694400</v>
      </c>
      <c r="K9" s="1919">
        <f t="shared" ref="K9:K14" si="3">J9*1.056</f>
        <v>1789286.4000000001</v>
      </c>
    </row>
    <row r="10" spans="1:12" ht="11.25" customHeight="1" x14ac:dyDescent="0.25">
      <c r="A10" s="1917" t="s">
        <v>1919</v>
      </c>
      <c r="B10" s="182" t="str">
        <f t="shared" si="1"/>
        <v/>
      </c>
      <c r="C10" s="1909">
        <v>790000</v>
      </c>
      <c r="D10" s="1909">
        <v>800000</v>
      </c>
      <c r="E10" s="1910">
        <v>890000</v>
      </c>
      <c r="F10" s="1911">
        <v>934000</v>
      </c>
      <c r="G10" s="1909">
        <v>934000</v>
      </c>
      <c r="H10" s="1912">
        <v>934000</v>
      </c>
      <c r="I10" s="1913">
        <f>A3A!I45</f>
        <v>930000</v>
      </c>
      <c r="J10" s="1918">
        <f t="shared" si="2"/>
        <v>984870</v>
      </c>
      <c r="K10" s="1919">
        <f t="shared" si="3"/>
        <v>1040022.7200000001</v>
      </c>
    </row>
    <row r="11" spans="1:12" ht="11.25" customHeight="1" x14ac:dyDescent="0.25">
      <c r="A11" s="1917" t="s">
        <v>1899</v>
      </c>
      <c r="B11" s="182" t="str">
        <f t="shared" si="1"/>
        <v/>
      </c>
      <c r="C11" s="1909"/>
      <c r="D11" s="1909">
        <v>3136000</v>
      </c>
      <c r="E11" s="1910">
        <v>5000000</v>
      </c>
      <c r="F11" s="1911">
        <v>10000000</v>
      </c>
      <c r="G11" s="1909">
        <v>10000000</v>
      </c>
      <c r="H11" s="1912">
        <v>10000000</v>
      </c>
      <c r="I11" s="1913">
        <f>A3A!I86</f>
        <v>15000000</v>
      </c>
      <c r="J11" s="1918">
        <f t="shared" si="2"/>
        <v>15885000</v>
      </c>
      <c r="K11" s="1919">
        <f t="shared" si="3"/>
        <v>16774560</v>
      </c>
    </row>
    <row r="12" spans="1:12" ht="11.25" customHeight="1" x14ac:dyDescent="0.25">
      <c r="A12" s="1917" t="s">
        <v>1910</v>
      </c>
      <c r="B12" s="182" t="str">
        <f t="shared" si="1"/>
        <v/>
      </c>
      <c r="C12" s="1909"/>
      <c r="D12" s="1909">
        <v>2863000</v>
      </c>
      <c r="E12" s="1910">
        <v>2842000</v>
      </c>
      <c r="F12" s="1911">
        <v>3757000</v>
      </c>
      <c r="G12" s="1909">
        <v>3757000</v>
      </c>
      <c r="H12" s="1912">
        <v>3757000</v>
      </c>
      <c r="I12" s="1913">
        <f>A3A!I78</f>
        <v>3117000</v>
      </c>
      <c r="J12" s="1918">
        <f t="shared" si="2"/>
        <v>3300903</v>
      </c>
      <c r="K12" s="1919">
        <f t="shared" si="3"/>
        <v>3485753.568</v>
      </c>
    </row>
    <row r="13" spans="1:12" ht="11.25" customHeight="1" x14ac:dyDescent="0.25">
      <c r="A13" s="1917"/>
      <c r="B13" s="182" t="str">
        <f t="shared" si="1"/>
        <v/>
      </c>
      <c r="C13" s="1909"/>
      <c r="D13" s="1909"/>
      <c r="E13" s="1910"/>
      <c r="F13" s="1911"/>
      <c r="G13" s="1909"/>
      <c r="H13" s="1912"/>
      <c r="I13" s="1913">
        <v>0</v>
      </c>
      <c r="J13" s="1918">
        <f t="shared" si="2"/>
        <v>0</v>
      </c>
      <c r="K13" s="1919">
        <f t="shared" si="3"/>
        <v>0</v>
      </c>
    </row>
    <row r="14" spans="1:12" ht="18" customHeight="1" x14ac:dyDescent="0.25">
      <c r="A14" s="1917" t="s">
        <v>2692</v>
      </c>
      <c r="B14" s="182"/>
      <c r="C14" s="1923"/>
      <c r="D14" s="1923"/>
      <c r="E14" s="1924"/>
      <c r="F14" s="1925">
        <v>300000</v>
      </c>
      <c r="G14" s="1923">
        <v>300000</v>
      </c>
      <c r="H14" s="1926">
        <v>300000</v>
      </c>
      <c r="I14" s="1927">
        <f>A3A!I93</f>
        <v>0</v>
      </c>
      <c r="J14" s="1918">
        <f t="shared" si="2"/>
        <v>0</v>
      </c>
      <c r="K14" s="1919">
        <f t="shared" si="3"/>
        <v>0</v>
      </c>
    </row>
    <row r="15" spans="1:12" ht="18" customHeight="1" x14ac:dyDescent="0.25">
      <c r="A15" s="372" t="s">
        <v>1019</v>
      </c>
      <c r="B15" s="182"/>
      <c r="C15" s="746">
        <f>SUM(C16:C20)</f>
        <v>0</v>
      </c>
      <c r="D15" s="746">
        <f t="shared" ref="D15:K15" si="4">SUM(D16:D20)</f>
        <v>0</v>
      </c>
      <c r="E15" s="747">
        <f t="shared" si="4"/>
        <v>0</v>
      </c>
      <c r="F15" s="748">
        <f t="shared" si="4"/>
        <v>0</v>
      </c>
      <c r="G15" s="746">
        <f t="shared" si="4"/>
        <v>0</v>
      </c>
      <c r="H15" s="749">
        <f t="shared" si="4"/>
        <v>0</v>
      </c>
      <c r="I15" s="750">
        <f t="shared" si="4"/>
        <v>0</v>
      </c>
      <c r="J15" s="746">
        <f t="shared" si="4"/>
        <v>0</v>
      </c>
      <c r="K15" s="747">
        <f t="shared" si="4"/>
        <v>0</v>
      </c>
      <c r="L15" s="369"/>
    </row>
    <row r="16" spans="1:12" ht="11.25" customHeight="1" x14ac:dyDescent="0.25">
      <c r="A16" s="1917"/>
      <c r="B16" s="182" t="str">
        <f>IF(A16="  Housing",4,"")</f>
        <v/>
      </c>
      <c r="C16" s="1918"/>
      <c r="D16" s="1918"/>
      <c r="E16" s="1919"/>
      <c r="F16" s="1920"/>
      <c r="G16" s="1918"/>
      <c r="H16" s="1921"/>
      <c r="I16" s="1922"/>
      <c r="J16" s="1918"/>
      <c r="K16" s="1919"/>
      <c r="L16" s="369"/>
    </row>
    <row r="17" spans="1:12" ht="11.25" customHeight="1" x14ac:dyDescent="0.25">
      <c r="A17" s="1917"/>
      <c r="B17" s="182" t="str">
        <f>IF(A17="  Housing",4,"")</f>
        <v/>
      </c>
      <c r="C17" s="1909"/>
      <c r="D17" s="1909"/>
      <c r="E17" s="1910"/>
      <c r="F17" s="1911"/>
      <c r="G17" s="1909"/>
      <c r="H17" s="1912"/>
      <c r="I17" s="1913"/>
      <c r="J17" s="1909"/>
      <c r="K17" s="1910"/>
      <c r="L17" s="369"/>
    </row>
    <row r="18" spans="1:12" ht="11.25" customHeight="1" x14ac:dyDescent="0.25">
      <c r="A18" s="1917"/>
      <c r="B18" s="182" t="str">
        <f>IF(A18="  Housing",4,"")</f>
        <v/>
      </c>
      <c r="C18" s="1909"/>
      <c r="D18" s="1909"/>
      <c r="E18" s="1910"/>
      <c r="F18" s="1911"/>
      <c r="G18" s="1909"/>
      <c r="H18" s="1912"/>
      <c r="I18" s="1913"/>
      <c r="J18" s="1909"/>
      <c r="K18" s="1910"/>
      <c r="L18" s="369"/>
    </row>
    <row r="19" spans="1:12" ht="11.25" customHeight="1" x14ac:dyDescent="0.25">
      <c r="A19" s="1917"/>
      <c r="B19" s="182" t="str">
        <f>IF(A19="  Housing",4,"")</f>
        <v/>
      </c>
      <c r="C19" s="1909"/>
      <c r="D19" s="1909"/>
      <c r="E19" s="1910"/>
      <c r="F19" s="1911"/>
      <c r="G19" s="1909"/>
      <c r="H19" s="1912"/>
      <c r="I19" s="1913"/>
      <c r="J19" s="1909"/>
      <c r="K19" s="1910"/>
      <c r="L19" s="369"/>
    </row>
    <row r="20" spans="1:12" ht="11.25" customHeight="1" x14ac:dyDescent="0.25">
      <c r="A20" s="1917" t="str">
        <f>A14</f>
        <v>Water Services Operating Subsidy in Kind</v>
      </c>
      <c r="B20" s="182"/>
      <c r="C20" s="1923"/>
      <c r="D20" s="1923"/>
      <c r="E20" s="1924"/>
      <c r="F20" s="1925"/>
      <c r="G20" s="1923"/>
      <c r="H20" s="1926"/>
      <c r="I20" s="1927"/>
      <c r="J20" s="1923"/>
      <c r="K20" s="1924"/>
      <c r="L20" s="369"/>
    </row>
    <row r="21" spans="1:12" ht="18" customHeight="1" x14ac:dyDescent="0.25">
      <c r="A21" s="372" t="s">
        <v>1055</v>
      </c>
      <c r="B21" s="182"/>
      <c r="C21" s="746">
        <f>SUM(C22:C23)</f>
        <v>0</v>
      </c>
      <c r="D21" s="746">
        <f t="shared" ref="D21:K21" si="5">SUM(D22:D23)</f>
        <v>0</v>
      </c>
      <c r="E21" s="747">
        <f t="shared" si="5"/>
        <v>0</v>
      </c>
      <c r="F21" s="748">
        <f t="shared" si="5"/>
        <v>0</v>
      </c>
      <c r="G21" s="746">
        <f t="shared" si="5"/>
        <v>0</v>
      </c>
      <c r="H21" s="749">
        <f t="shared" si="5"/>
        <v>0</v>
      </c>
      <c r="I21" s="750">
        <f t="shared" si="5"/>
        <v>0</v>
      </c>
      <c r="J21" s="746">
        <f t="shared" si="5"/>
        <v>0</v>
      </c>
      <c r="K21" s="747">
        <f t="shared" si="5"/>
        <v>0</v>
      </c>
      <c r="L21" s="369"/>
    </row>
    <row r="22" spans="1:12" ht="11.25" customHeight="1" x14ac:dyDescent="0.25">
      <c r="A22" s="1928" t="s">
        <v>1085</v>
      </c>
      <c r="B22" s="182"/>
      <c r="C22" s="1918"/>
      <c r="D22" s="1918"/>
      <c r="E22" s="1919"/>
      <c r="F22" s="1920"/>
      <c r="G22" s="1918"/>
      <c r="H22" s="1921"/>
      <c r="I22" s="1922"/>
      <c r="J22" s="1918"/>
      <c r="K22" s="1919"/>
      <c r="L22" s="369"/>
    </row>
    <row r="23" spans="1:12" ht="11.25" customHeight="1" x14ac:dyDescent="0.25">
      <c r="A23" s="1928"/>
      <c r="B23" s="182"/>
      <c r="C23" s="1923"/>
      <c r="D23" s="1923"/>
      <c r="E23" s="1924"/>
      <c r="F23" s="1925"/>
      <c r="G23" s="1923"/>
      <c r="H23" s="1926"/>
      <c r="I23" s="1927"/>
      <c r="J23" s="1923"/>
      <c r="K23" s="1924"/>
      <c r="L23" s="369"/>
    </row>
    <row r="24" spans="1:12" ht="18" customHeight="1" x14ac:dyDescent="0.25">
      <c r="A24" s="372" t="s">
        <v>585</v>
      </c>
      <c r="B24" s="182"/>
      <c r="C24" s="746">
        <f>SUM(C25:C26)</f>
        <v>0</v>
      </c>
      <c r="D24" s="746">
        <f t="shared" ref="D24:K24" si="6">SUM(D25:D26)</f>
        <v>0</v>
      </c>
      <c r="E24" s="747">
        <f t="shared" si="6"/>
        <v>0</v>
      </c>
      <c r="F24" s="748">
        <f t="shared" si="6"/>
        <v>0</v>
      </c>
      <c r="G24" s="746">
        <f t="shared" si="6"/>
        <v>0</v>
      </c>
      <c r="H24" s="749">
        <f t="shared" si="6"/>
        <v>0</v>
      </c>
      <c r="I24" s="750">
        <f t="shared" si="6"/>
        <v>0</v>
      </c>
      <c r="J24" s="746">
        <f t="shared" si="6"/>
        <v>0</v>
      </c>
      <c r="K24" s="747">
        <f t="shared" si="6"/>
        <v>0</v>
      </c>
      <c r="L24" s="369"/>
    </row>
    <row r="25" spans="1:12" ht="11.25" customHeight="1" x14ac:dyDescent="0.25">
      <c r="A25" s="1928" t="s">
        <v>1085</v>
      </c>
      <c r="B25" s="182"/>
      <c r="C25" s="1918"/>
      <c r="D25" s="1918"/>
      <c r="E25" s="1919"/>
      <c r="F25" s="1920"/>
      <c r="G25" s="1918"/>
      <c r="H25" s="1921"/>
      <c r="I25" s="1922"/>
      <c r="J25" s="1918"/>
      <c r="K25" s="1919"/>
      <c r="L25" s="369"/>
    </row>
    <row r="26" spans="1:12" ht="11.25" customHeight="1" x14ac:dyDescent="0.25">
      <c r="A26" s="1928"/>
      <c r="B26" s="182"/>
      <c r="C26" s="1923"/>
      <c r="D26" s="1923"/>
      <c r="E26" s="1924"/>
      <c r="F26" s="1925"/>
      <c r="G26" s="1923"/>
      <c r="H26" s="1926"/>
      <c r="I26" s="1927"/>
      <c r="J26" s="1923"/>
      <c r="K26" s="1924"/>
      <c r="L26" s="369"/>
    </row>
    <row r="27" spans="1:12" s="764" customFormat="1" ht="15.75" customHeight="1" x14ac:dyDescent="0.2">
      <c r="A27" s="757" t="s">
        <v>362</v>
      </c>
      <c r="B27" s="758">
        <v>5</v>
      </c>
      <c r="C27" s="759">
        <f>C7+C15+C21+C24</f>
        <v>176722000</v>
      </c>
      <c r="D27" s="759">
        <f t="shared" ref="D27:K27" si="7">D7+D15+D21+D24</f>
        <v>226477000</v>
      </c>
      <c r="E27" s="760">
        <f t="shared" si="7"/>
        <v>247290000</v>
      </c>
      <c r="F27" s="761">
        <f t="shared" si="7"/>
        <v>276515000</v>
      </c>
      <c r="G27" s="759">
        <f t="shared" si="7"/>
        <v>16591000</v>
      </c>
      <c r="H27" s="762">
        <f t="shared" si="7"/>
        <v>16591000</v>
      </c>
      <c r="I27" s="763">
        <f t="shared" si="7"/>
        <v>309291000</v>
      </c>
      <c r="J27" s="759">
        <f t="shared" si="7"/>
        <v>327539169</v>
      </c>
      <c r="K27" s="760">
        <f t="shared" si="7"/>
        <v>345881362.46400005</v>
      </c>
      <c r="L27" s="886"/>
    </row>
    <row r="28" spans="1:12" ht="5.0999999999999996" customHeight="1" x14ac:dyDescent="0.25">
      <c r="A28" s="273"/>
      <c r="B28" s="182"/>
      <c r="C28" s="714"/>
      <c r="D28" s="714"/>
      <c r="E28" s="710"/>
      <c r="F28" s="711"/>
      <c r="G28" s="714"/>
      <c r="H28" s="712"/>
      <c r="I28" s="715"/>
      <c r="J28" s="714"/>
      <c r="K28" s="710"/>
      <c r="L28" s="369"/>
    </row>
    <row r="29" spans="1:12" ht="11.25" customHeight="1" x14ac:dyDescent="0.25">
      <c r="A29" s="249" t="s">
        <v>363</v>
      </c>
      <c r="B29" s="182"/>
      <c r="C29" s="714"/>
      <c r="D29" s="714"/>
      <c r="E29" s="710"/>
      <c r="F29" s="711"/>
      <c r="G29" s="714"/>
      <c r="H29" s="712"/>
      <c r="I29" s="715"/>
      <c r="J29" s="714"/>
      <c r="K29" s="710"/>
      <c r="L29" s="369"/>
    </row>
    <row r="30" spans="1:12" ht="18" customHeight="1" x14ac:dyDescent="0.25">
      <c r="A30" s="372" t="str">
        <f>A7</f>
        <v>National Government:</v>
      </c>
      <c r="B30" s="182"/>
      <c r="C30" s="746">
        <f>SUM(C31:C36)</f>
        <v>0</v>
      </c>
      <c r="D30" s="746">
        <f t="shared" ref="D30:K30" si="8">SUM(D31:D36)</f>
        <v>137122277</v>
      </c>
      <c r="E30" s="747">
        <f t="shared" si="8"/>
        <v>90210744</v>
      </c>
      <c r="F30" s="748">
        <f t="shared" si="8"/>
        <v>115285000</v>
      </c>
      <c r="G30" s="746">
        <f t="shared" si="8"/>
        <v>0</v>
      </c>
      <c r="H30" s="749">
        <f t="shared" si="8"/>
        <v>0</v>
      </c>
      <c r="I30" s="750">
        <f t="shared" si="8"/>
        <v>119139000</v>
      </c>
      <c r="J30" s="746">
        <f t="shared" si="8"/>
        <v>126168201</v>
      </c>
      <c r="K30" s="747">
        <f t="shared" si="8"/>
        <v>133233620.25600001</v>
      </c>
      <c r="L30" s="369"/>
    </row>
    <row r="31" spans="1:12" ht="11.25" customHeight="1" x14ac:dyDescent="0.25">
      <c r="A31" s="1917" t="s">
        <v>1918</v>
      </c>
      <c r="B31" s="182"/>
      <c r="C31" s="1918"/>
      <c r="D31" s="1918">
        <v>136960821</v>
      </c>
      <c r="E31" s="1919">
        <v>88132019</v>
      </c>
      <c r="F31" s="1920">
        <v>115285000</v>
      </c>
      <c r="G31" s="1918"/>
      <c r="H31" s="1921"/>
      <c r="I31" s="1922">
        <f>A3A!I61</f>
        <v>119139000</v>
      </c>
      <c r="J31" s="1918">
        <f>I31*1.059</f>
        <v>126168201</v>
      </c>
      <c r="K31" s="1919">
        <f>J31*1.056</f>
        <v>133233620.25600001</v>
      </c>
      <c r="L31" s="369"/>
    </row>
    <row r="32" spans="1:12" ht="11.25" customHeight="1" x14ac:dyDescent="0.25">
      <c r="A32" s="1917"/>
      <c r="B32" s="182"/>
      <c r="C32" s="1909"/>
      <c r="D32" s="1909"/>
      <c r="E32" s="1910"/>
      <c r="F32" s="1911"/>
      <c r="G32" s="1909"/>
      <c r="H32" s="1912"/>
      <c r="I32" s="1913"/>
      <c r="J32" s="1909"/>
      <c r="K32" s="1910"/>
      <c r="L32" s="369"/>
    </row>
    <row r="33" spans="1:15" ht="11.25" customHeight="1" x14ac:dyDescent="0.25">
      <c r="A33" s="1917"/>
      <c r="B33" s="182"/>
      <c r="C33" s="1909"/>
      <c r="D33" s="1909"/>
      <c r="E33" s="1910"/>
      <c r="F33" s="1911"/>
      <c r="G33" s="1909"/>
      <c r="H33" s="1912"/>
      <c r="I33" s="1913"/>
      <c r="J33" s="1909"/>
      <c r="K33" s="1910"/>
      <c r="L33" s="369"/>
    </row>
    <row r="34" spans="1:15" ht="11.25" customHeight="1" x14ac:dyDescent="0.25">
      <c r="A34" s="1917"/>
      <c r="B34" s="182"/>
      <c r="C34" s="1909"/>
      <c r="D34" s="1909"/>
      <c r="E34" s="1910"/>
      <c r="F34" s="1911"/>
      <c r="G34" s="1909"/>
      <c r="H34" s="1912"/>
      <c r="I34" s="1913"/>
      <c r="J34" s="1909"/>
      <c r="K34" s="1910"/>
      <c r="L34" s="369"/>
    </row>
    <row r="35" spans="1:15" ht="11.25" customHeight="1" x14ac:dyDescent="0.25">
      <c r="A35" s="1917"/>
      <c r="B35" s="182"/>
      <c r="C35" s="1909"/>
      <c r="D35" s="1909"/>
      <c r="E35" s="1910"/>
      <c r="F35" s="1911"/>
      <c r="G35" s="1909"/>
      <c r="H35" s="1912"/>
      <c r="I35" s="1913"/>
      <c r="J35" s="1909"/>
      <c r="K35" s="1910"/>
      <c r="L35" s="369"/>
    </row>
    <row r="36" spans="1:15" ht="11.25" customHeight="1" x14ac:dyDescent="0.25">
      <c r="A36" s="1917" t="s">
        <v>2693</v>
      </c>
      <c r="B36" s="182"/>
      <c r="C36" s="1923"/>
      <c r="D36" s="1923">
        <v>161456</v>
      </c>
      <c r="E36" s="1924">
        <v>2078725</v>
      </c>
      <c r="F36" s="1925"/>
      <c r="G36" s="1923"/>
      <c r="H36" s="1926"/>
      <c r="I36" s="1927"/>
      <c r="J36" s="1923"/>
      <c r="K36" s="1924"/>
      <c r="L36" s="369"/>
    </row>
    <row r="37" spans="1:15" ht="18" customHeight="1" x14ac:dyDescent="0.25">
      <c r="A37" s="765" t="str">
        <f>A15</f>
        <v>Provincial Government:</v>
      </c>
      <c r="B37" s="182"/>
      <c r="C37" s="746">
        <f>SUM(C38)</f>
        <v>0</v>
      </c>
      <c r="D37" s="746">
        <f t="shared" ref="D37:K37" si="9">SUM(D38)</f>
        <v>0</v>
      </c>
      <c r="E37" s="747">
        <f t="shared" si="9"/>
        <v>0</v>
      </c>
      <c r="F37" s="748">
        <f t="shared" si="9"/>
        <v>0</v>
      </c>
      <c r="G37" s="746">
        <f t="shared" si="9"/>
        <v>0</v>
      </c>
      <c r="H37" s="749">
        <f t="shared" si="9"/>
        <v>0</v>
      </c>
      <c r="I37" s="750">
        <f t="shared" si="9"/>
        <v>0</v>
      </c>
      <c r="J37" s="746">
        <f t="shared" si="9"/>
        <v>0</v>
      </c>
      <c r="K37" s="747">
        <f t="shared" si="9"/>
        <v>0</v>
      </c>
      <c r="L37" s="369"/>
      <c r="O37" s="369"/>
    </row>
    <row r="38" spans="1:15" ht="25.5" x14ac:dyDescent="0.25">
      <c r="A38" s="1929" t="s">
        <v>1616</v>
      </c>
      <c r="B38" s="182"/>
      <c r="C38" s="1930"/>
      <c r="D38" s="1930"/>
      <c r="E38" s="1931"/>
      <c r="F38" s="1932"/>
      <c r="G38" s="1930"/>
      <c r="H38" s="1933"/>
      <c r="I38" s="1934"/>
      <c r="J38" s="1930"/>
      <c r="K38" s="1931"/>
      <c r="L38" s="369"/>
    </row>
    <row r="39" spans="1:15" ht="18" customHeight="1" x14ac:dyDescent="0.25">
      <c r="A39" s="372" t="str">
        <f>A21</f>
        <v>District Municipality:</v>
      </c>
      <c r="B39" s="182"/>
      <c r="C39" s="746">
        <f t="shared" ref="C39:K39" si="10">SUM(C40:C41)</f>
        <v>0</v>
      </c>
      <c r="D39" s="746">
        <f t="shared" si="10"/>
        <v>0</v>
      </c>
      <c r="E39" s="747">
        <f t="shared" si="10"/>
        <v>0</v>
      </c>
      <c r="F39" s="748">
        <f t="shared" si="10"/>
        <v>0</v>
      </c>
      <c r="G39" s="746">
        <f t="shared" si="10"/>
        <v>0</v>
      </c>
      <c r="H39" s="749">
        <f t="shared" si="10"/>
        <v>0</v>
      </c>
      <c r="I39" s="750">
        <f t="shared" si="10"/>
        <v>0</v>
      </c>
      <c r="J39" s="746">
        <f t="shared" si="10"/>
        <v>0</v>
      </c>
      <c r="K39" s="747">
        <f t="shared" si="10"/>
        <v>0</v>
      </c>
      <c r="L39" s="369"/>
    </row>
    <row r="40" spans="1:15" ht="11.25" customHeight="1" x14ac:dyDescent="0.25">
      <c r="A40" s="1928" t="str">
        <f>A22</f>
        <v xml:space="preserve">  [insert description]</v>
      </c>
      <c r="B40" s="182"/>
      <c r="C40" s="1918"/>
      <c r="D40" s="1918"/>
      <c r="E40" s="1919"/>
      <c r="F40" s="1920"/>
      <c r="G40" s="1918"/>
      <c r="H40" s="1921"/>
      <c r="I40" s="1922"/>
      <c r="J40" s="1918"/>
      <c r="K40" s="1919"/>
      <c r="L40" s="369"/>
    </row>
    <row r="41" spans="1:15" ht="11.25" customHeight="1" x14ac:dyDescent="0.25">
      <c r="A41" s="1928"/>
      <c r="B41" s="182"/>
      <c r="C41" s="1923"/>
      <c r="D41" s="1923"/>
      <c r="E41" s="1924"/>
      <c r="F41" s="1925"/>
      <c r="G41" s="1923"/>
      <c r="H41" s="1926"/>
      <c r="I41" s="1927"/>
      <c r="J41" s="1923"/>
      <c r="K41" s="1924"/>
      <c r="L41" s="369"/>
    </row>
    <row r="42" spans="1:15" ht="18" customHeight="1" x14ac:dyDescent="0.25">
      <c r="A42" s="372" t="str">
        <f>A24</f>
        <v>Other grant providers:</v>
      </c>
      <c r="B42" s="182"/>
      <c r="C42" s="746">
        <f>SUM(C43:C44)</f>
        <v>0</v>
      </c>
      <c r="D42" s="746">
        <f t="shared" ref="D42:K42" si="11">SUM(D43:D44)</f>
        <v>0</v>
      </c>
      <c r="E42" s="747">
        <f t="shared" si="11"/>
        <v>0</v>
      </c>
      <c r="F42" s="748">
        <f t="shared" si="11"/>
        <v>0</v>
      </c>
      <c r="G42" s="746">
        <f t="shared" si="11"/>
        <v>0</v>
      </c>
      <c r="H42" s="749">
        <f t="shared" si="11"/>
        <v>0</v>
      </c>
      <c r="I42" s="750">
        <f t="shared" si="11"/>
        <v>0</v>
      </c>
      <c r="J42" s="746">
        <f t="shared" si="11"/>
        <v>0</v>
      </c>
      <c r="K42" s="747">
        <f t="shared" si="11"/>
        <v>0</v>
      </c>
      <c r="L42" s="369"/>
    </row>
    <row r="43" spans="1:15" ht="11.25" customHeight="1" x14ac:dyDescent="0.25">
      <c r="A43" s="1928" t="str">
        <f>LEFT(A25,22)</f>
        <v xml:space="preserve">  [insert description]</v>
      </c>
      <c r="B43" s="182"/>
      <c r="C43" s="1918"/>
      <c r="D43" s="1918"/>
      <c r="E43" s="1919"/>
      <c r="F43" s="1920"/>
      <c r="G43" s="1918"/>
      <c r="H43" s="1921"/>
      <c r="I43" s="1922"/>
      <c r="J43" s="1918"/>
      <c r="K43" s="1919"/>
      <c r="L43" s="369"/>
    </row>
    <row r="44" spans="1:15" ht="11.25" customHeight="1" x14ac:dyDescent="0.25">
      <c r="A44" s="1928"/>
      <c r="B44" s="182"/>
      <c r="C44" s="1923"/>
      <c r="D44" s="1923"/>
      <c r="E44" s="1924"/>
      <c r="F44" s="1925"/>
      <c r="G44" s="1923"/>
      <c r="H44" s="1926"/>
      <c r="I44" s="1927"/>
      <c r="J44" s="1923"/>
      <c r="K44" s="1924"/>
      <c r="L44" s="369"/>
    </row>
    <row r="45" spans="1:15" ht="15.75" customHeight="1" x14ac:dyDescent="0.25">
      <c r="A45" s="766" t="s">
        <v>364</v>
      </c>
      <c r="B45" s="767">
        <v>5</v>
      </c>
      <c r="C45" s="746">
        <f t="shared" ref="C45:K45" si="12">C30+C37+C39+C42</f>
        <v>0</v>
      </c>
      <c r="D45" s="746">
        <f t="shared" si="12"/>
        <v>137122277</v>
      </c>
      <c r="E45" s="747">
        <f t="shared" si="12"/>
        <v>90210744</v>
      </c>
      <c r="F45" s="748">
        <f t="shared" si="12"/>
        <v>115285000</v>
      </c>
      <c r="G45" s="746">
        <f t="shared" si="12"/>
        <v>0</v>
      </c>
      <c r="H45" s="749">
        <f t="shared" si="12"/>
        <v>0</v>
      </c>
      <c r="I45" s="750">
        <f t="shared" si="12"/>
        <v>119139000</v>
      </c>
      <c r="J45" s="746">
        <f t="shared" si="12"/>
        <v>126168201</v>
      </c>
      <c r="K45" s="747">
        <f t="shared" si="12"/>
        <v>133233620.25600001</v>
      </c>
      <c r="L45" s="369"/>
    </row>
    <row r="46" spans="1:15" s="764" customFormat="1" ht="16.5" customHeight="1" x14ac:dyDescent="0.2">
      <c r="A46" s="768" t="s">
        <v>365</v>
      </c>
      <c r="B46" s="769"/>
      <c r="C46" s="770">
        <f t="shared" ref="C46:K46" si="13">C27+C45</f>
        <v>176722000</v>
      </c>
      <c r="D46" s="770">
        <f t="shared" si="13"/>
        <v>363599277</v>
      </c>
      <c r="E46" s="771">
        <f t="shared" si="13"/>
        <v>337500744</v>
      </c>
      <c r="F46" s="772">
        <f t="shared" si="13"/>
        <v>391800000</v>
      </c>
      <c r="G46" s="770">
        <f t="shared" si="13"/>
        <v>16591000</v>
      </c>
      <c r="H46" s="773">
        <f t="shared" si="13"/>
        <v>16591000</v>
      </c>
      <c r="I46" s="774">
        <f t="shared" si="13"/>
        <v>428430000</v>
      </c>
      <c r="J46" s="770">
        <f t="shared" si="13"/>
        <v>453707370</v>
      </c>
      <c r="K46" s="771">
        <f t="shared" si="13"/>
        <v>479114982.72000003</v>
      </c>
      <c r="L46" s="886"/>
    </row>
    <row r="47" spans="1:15" s="708" customFormat="1" x14ac:dyDescent="0.25">
      <c r="A47" s="1228" t="str">
        <f>head27a</f>
        <v>References</v>
      </c>
      <c r="B47" s="1033"/>
      <c r="C47" s="1037"/>
      <c r="D47" s="1037"/>
      <c r="E47" s="1037"/>
      <c r="F47" s="1037"/>
      <c r="G47" s="1037"/>
      <c r="H47" s="1037"/>
      <c r="I47" s="1037"/>
      <c r="J47" s="1037"/>
      <c r="K47" s="1037"/>
      <c r="L47" s="1082"/>
    </row>
    <row r="48" spans="1:15" s="708" customFormat="1" ht="11.25" customHeight="1" x14ac:dyDescent="0.25">
      <c r="A48" s="1193" t="s">
        <v>306</v>
      </c>
      <c r="B48" s="1033"/>
      <c r="C48" s="1036"/>
      <c r="D48" s="1036"/>
      <c r="E48" s="1037"/>
      <c r="F48" s="1037"/>
      <c r="G48" s="1037"/>
      <c r="H48" s="1037"/>
      <c r="I48" s="1037"/>
      <c r="J48" s="1037"/>
      <c r="K48" s="1037"/>
    </row>
    <row r="49" spans="1:11" s="708" customFormat="1" ht="11.25" customHeight="1" x14ac:dyDescent="0.25">
      <c r="A49" s="1190" t="s">
        <v>1391</v>
      </c>
      <c r="B49" s="1033"/>
      <c r="C49" s="1036"/>
      <c r="D49" s="1036"/>
      <c r="E49" s="1037"/>
      <c r="F49" s="1037"/>
      <c r="G49" s="1037"/>
      <c r="H49" s="1037"/>
      <c r="I49" s="1037"/>
      <c r="J49" s="1037"/>
      <c r="K49" s="1037"/>
    </row>
    <row r="50" spans="1:11" s="708" customFormat="1" ht="11.25" customHeight="1" x14ac:dyDescent="0.25">
      <c r="A50" s="1190" t="s">
        <v>584</v>
      </c>
      <c r="B50" s="1033"/>
      <c r="C50" s="1036"/>
      <c r="D50" s="1036"/>
      <c r="E50" s="1037"/>
      <c r="F50" s="1037"/>
      <c r="G50" s="1037"/>
      <c r="H50" s="1037"/>
      <c r="I50" s="1037"/>
      <c r="J50" s="1037"/>
      <c r="K50" s="1037"/>
    </row>
    <row r="51" spans="1:11" s="708" customFormat="1" ht="11.25" customHeight="1" x14ac:dyDescent="0.25">
      <c r="A51" s="1193" t="s">
        <v>1356</v>
      </c>
      <c r="B51" s="1033"/>
      <c r="C51" s="1036"/>
      <c r="D51" s="1036"/>
      <c r="E51" s="1037"/>
      <c r="F51" s="1037"/>
      <c r="G51" s="1037"/>
      <c r="H51" s="1037"/>
      <c r="I51" s="1037"/>
      <c r="J51" s="1037"/>
      <c r="K51" s="1037"/>
    </row>
    <row r="52" spans="1:11" s="708" customFormat="1" ht="11.25" customHeight="1" x14ac:dyDescent="0.25">
      <c r="A52" s="1405" t="s">
        <v>304</v>
      </c>
      <c r="B52" s="1038"/>
      <c r="C52" s="1075"/>
      <c r="D52" s="1076"/>
      <c r="E52" s="1075"/>
      <c r="F52" s="1076"/>
      <c r="G52" s="1075"/>
      <c r="H52" s="1075"/>
      <c r="I52" s="1075"/>
      <c r="J52" s="1075"/>
      <c r="K52" s="1075"/>
    </row>
    <row r="53" spans="1:11" s="708" customFormat="1" ht="11.25" customHeight="1" x14ac:dyDescent="0.25">
      <c r="A53" s="1405" t="s">
        <v>900</v>
      </c>
      <c r="B53" s="1043"/>
    </row>
    <row r="54" spans="1:11" ht="11.25" customHeight="1" x14ac:dyDescent="0.25"/>
    <row r="55" spans="1:11" ht="11.25" customHeight="1" x14ac:dyDescent="0.25"/>
    <row r="56" spans="1:11" ht="11.25" customHeight="1" x14ac:dyDescent="0.25"/>
    <row r="57" spans="1:11" ht="11.25" customHeight="1" x14ac:dyDescent="0.25"/>
    <row r="58" spans="1:11" ht="11.25" customHeight="1" x14ac:dyDescent="0.25"/>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customSheetViews>
    <customSheetView guid="{F50C5479-5CC4-4FD7-8319-543D29E829F0}" showGridLines="0" fitToPage="1">
      <pane xSplit="2" ySplit="3" topLeftCell="C4" activePane="bottomRight" state="frozen"/>
      <selection pane="bottomRight" activeCell="F31" sqref="F31"/>
      <pageMargins left="0" right="0" top="0.78740157480314965" bottom="0.59055118110236227" header="0.51181102362204722" footer="0.39370078740157483"/>
      <printOptions horizontalCentered="1"/>
      <pageSetup paperSize="9" scale="87" orientation="portrait" r:id="rId1"/>
      <headerFooter alignWithMargins="0"/>
    </customSheetView>
  </customSheetViews>
  <mergeCells count="2">
    <mergeCell ref="F2:H2"/>
    <mergeCell ref="I2:K2"/>
  </mergeCells>
  <phoneticPr fontId="2" type="noConversion"/>
  <dataValidations xWindow="42844" yWindow="125" count="4">
    <dataValidation type="list" showInputMessage="1" showErrorMessage="1" prompt="Select transfer/grant description" sqref="A9:A13">
      <formula1>GrantNatOpex</formula1>
    </dataValidation>
    <dataValidation type="list" showInputMessage="1" showErrorMessage="1" prompt="Select transfer/grant description" sqref="A16:A19">
      <formula1>GrantProvOpex</formula1>
    </dataValidation>
    <dataValidation type="list" showInputMessage="1" showErrorMessage="1" prompt="Select transfer/grant description" sqref="A31:A35">
      <formula1>GrantNatCapex</formula1>
    </dataValidation>
    <dataValidation showInputMessage="1" showErrorMessage="1" prompt="Select transfer/grant description" sqref="A8"/>
  </dataValidations>
  <printOptions horizontalCentered="1"/>
  <pageMargins left="0" right="0" top="0.78740157480314965" bottom="0.59055118110236227" header="0.51181102362204722" footer="0.39370078740157483"/>
  <pageSetup paperSize="9" scale="87"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AC308"/>
  <sheetViews>
    <sheetView zoomScaleNormal="100" workbookViewId="0">
      <pane xSplit="1" ySplit="1" topLeftCell="M2" activePane="bottomRight" state="frozen"/>
      <selection pane="topRight"/>
      <selection pane="bottomLeft"/>
      <selection pane="bottomRight" activeCell="Q2" sqref="Q2"/>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1003" t="s">
        <v>769</v>
      </c>
      <c r="B1" s="1004">
        <v>2007</v>
      </c>
      <c r="C1" s="1004">
        <v>2008</v>
      </c>
      <c r="D1" s="1004">
        <v>2009</v>
      </c>
      <c r="E1" s="1026">
        <v>2010</v>
      </c>
      <c r="F1" s="1026">
        <v>2011</v>
      </c>
      <c r="G1" s="1004">
        <v>2012</v>
      </c>
      <c r="H1" s="1026">
        <v>2013</v>
      </c>
      <c r="I1" s="1026">
        <v>2014</v>
      </c>
      <c r="J1" s="1026">
        <v>2015</v>
      </c>
      <c r="K1" s="1026">
        <v>2016</v>
      </c>
      <c r="L1" s="1026">
        <v>2017</v>
      </c>
      <c r="M1" s="1026">
        <v>2018</v>
      </c>
      <c r="N1" s="1026">
        <v>2019</v>
      </c>
      <c r="O1" s="1026">
        <v>2020</v>
      </c>
      <c r="P1" s="1027"/>
      <c r="Q1" s="1030" t="s">
        <v>157</v>
      </c>
      <c r="R1" s="1031"/>
      <c r="S1" s="1031"/>
      <c r="T1" s="1031"/>
      <c r="U1" s="1031"/>
      <c r="V1" s="1031"/>
      <c r="W1" s="1031"/>
      <c r="X1" s="1031"/>
      <c r="Y1" s="1163" t="s">
        <v>1578</v>
      </c>
      <c r="Z1" s="1163" t="s">
        <v>1579</v>
      </c>
      <c r="AA1" s="1163" t="s">
        <v>1581</v>
      </c>
      <c r="AB1" s="1163" t="s">
        <v>1580</v>
      </c>
      <c r="AC1" s="1163" t="s">
        <v>1228</v>
      </c>
    </row>
    <row r="2" spans="1:29" x14ac:dyDescent="0.2">
      <c r="A2" s="10" t="str">
        <f>'Template names'!C2</f>
        <v>Prior year -1</v>
      </c>
      <c r="B2" s="6" t="s">
        <v>1051</v>
      </c>
      <c r="C2" s="6" t="s">
        <v>1278</v>
      </c>
      <c r="D2" s="6" t="s">
        <v>1098</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425</v>
      </c>
      <c r="R2" s="1029" t="s">
        <v>158</v>
      </c>
      <c r="S2" s="1029" t="s">
        <v>159</v>
      </c>
      <c r="T2" s="4" t="s">
        <v>161</v>
      </c>
      <c r="U2" s="13" t="s">
        <v>165</v>
      </c>
      <c r="V2" s="4" t="s">
        <v>425</v>
      </c>
      <c r="W2" s="21" t="s">
        <v>1082</v>
      </c>
      <c r="X2" s="21" t="s">
        <v>1675</v>
      </c>
      <c r="Z2" s="1" t="s">
        <v>1922</v>
      </c>
      <c r="AA2" s="1" t="s">
        <v>1923</v>
      </c>
      <c r="AB2" s="1" t="s">
        <v>1918</v>
      </c>
      <c r="AC2" s="1" t="s">
        <v>1911</v>
      </c>
    </row>
    <row r="3" spans="1:29" x14ac:dyDescent="0.2">
      <c r="A3" s="10" t="str">
        <f>'Template names'!C3</f>
        <v>Prior year -2</v>
      </c>
      <c r="B3" s="6" t="s">
        <v>1052</v>
      </c>
      <c r="C3" s="6" t="s">
        <v>1051</v>
      </c>
      <c r="D3" s="6" t="s">
        <v>1278</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822</v>
      </c>
      <c r="R3" s="4">
        <v>1</v>
      </c>
      <c r="S3" s="4">
        <v>4</v>
      </c>
      <c r="T3" s="4" t="s">
        <v>162</v>
      </c>
      <c r="U3" s="13" t="s">
        <v>163</v>
      </c>
      <c r="V3" s="22" t="s">
        <v>822</v>
      </c>
      <c r="W3" s="22" t="s">
        <v>1672</v>
      </c>
      <c r="X3" s="22" t="s">
        <v>1676</v>
      </c>
      <c r="Z3" s="1" t="s">
        <v>1921</v>
      </c>
      <c r="AA3" s="1" t="s">
        <v>1924</v>
      </c>
      <c r="AB3" s="1" t="s">
        <v>1917</v>
      </c>
      <c r="AC3" s="1" t="s">
        <v>1912</v>
      </c>
    </row>
    <row r="4" spans="1:29" x14ac:dyDescent="0.2">
      <c r="A4" s="10" t="str">
        <f>'Template names'!C4</f>
        <v>Prior year -3</v>
      </c>
      <c r="B4" s="6" t="s">
        <v>1053</v>
      </c>
      <c r="C4" s="6" t="s">
        <v>1052</v>
      </c>
      <c r="D4" s="6" t="s">
        <v>1051</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292</v>
      </c>
      <c r="U4" s="14" t="s">
        <v>292</v>
      </c>
      <c r="V4" s="23"/>
      <c r="Z4" s="1" t="s">
        <v>1920</v>
      </c>
      <c r="AA4" s="1" t="s">
        <v>1702</v>
      </c>
      <c r="AB4" s="1" t="s">
        <v>1906</v>
      </c>
      <c r="AC4" s="1" t="s">
        <v>1781</v>
      </c>
    </row>
    <row r="5" spans="1:29" x14ac:dyDescent="0.2">
      <c r="A5" s="10" t="str">
        <f>'Template names'!C5</f>
        <v>Year in which budget is being prepared</v>
      </c>
      <c r="B5" s="6" t="s">
        <v>404</v>
      </c>
      <c r="C5" s="6" t="s">
        <v>1097</v>
      </c>
      <c r="D5" s="6" t="s">
        <v>1105</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1919</v>
      </c>
      <c r="AA5" s="1" t="s">
        <v>1916</v>
      </c>
      <c r="AB5" s="1" t="s">
        <v>1908</v>
      </c>
      <c r="AC5" s="1" t="s">
        <v>1913</v>
      </c>
    </row>
    <row r="6" spans="1:29" x14ac:dyDescent="0.2">
      <c r="A6" s="10" t="str">
        <f>'Template names'!C6</f>
        <v>Year in which budget is being prepared</v>
      </c>
      <c r="B6" s="6" t="s">
        <v>1278</v>
      </c>
      <c r="C6" s="6" t="s">
        <v>1098</v>
      </c>
      <c r="D6" s="6" t="s">
        <v>1106</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1028" t="s">
        <v>1081</v>
      </c>
      <c r="Z6" s="2" t="s">
        <v>1899</v>
      </c>
      <c r="AB6" s="1" t="s">
        <v>1907</v>
      </c>
      <c r="AC6" s="1" t="s">
        <v>1914</v>
      </c>
    </row>
    <row r="7" spans="1:29" x14ac:dyDescent="0.2">
      <c r="A7" s="10" t="str">
        <f>'Template names'!C7</f>
        <v>MTREF name</v>
      </c>
      <c r="B7" s="6" t="s">
        <v>794</v>
      </c>
      <c r="C7" s="6" t="s">
        <v>795</v>
      </c>
      <c r="D7" s="6" t="s">
        <v>796</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160</v>
      </c>
      <c r="Z7" s="2" t="s">
        <v>1900</v>
      </c>
      <c r="AB7" s="1" t="s">
        <v>1904</v>
      </c>
      <c r="AC7" s="1" t="s">
        <v>1915</v>
      </c>
    </row>
    <row r="8" spans="1:29" x14ac:dyDescent="0.2">
      <c r="A8" s="10" t="str">
        <f>'Template names'!C15</f>
        <v>1st year of MTREF</v>
      </c>
      <c r="B8" s="6" t="s">
        <v>1612</v>
      </c>
      <c r="C8" s="6" t="s">
        <v>1099</v>
      </c>
      <c r="D8" s="6" t="s">
        <v>1107</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1080</v>
      </c>
      <c r="Z8" s="2" t="s">
        <v>1901</v>
      </c>
      <c r="AB8" s="1" t="s">
        <v>1905</v>
      </c>
      <c r="AC8" s="1" t="s">
        <v>1916</v>
      </c>
    </row>
    <row r="9" spans="1:29" x14ac:dyDescent="0.2">
      <c r="A9" s="10" t="str">
        <f>'Template names'!C16</f>
        <v>2nd year of MTREF</v>
      </c>
      <c r="B9" s="6" t="s">
        <v>1613</v>
      </c>
      <c r="C9" s="6" t="s">
        <v>1100</v>
      </c>
      <c r="D9" s="6" t="s">
        <v>1359</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1902</v>
      </c>
    </row>
    <row r="10" spans="1:29" x14ac:dyDescent="0.2">
      <c r="A10" s="10" t="str">
        <f>'Template names'!C17</f>
        <v>3rd year of MTREF</v>
      </c>
      <c r="B10" s="6" t="s">
        <v>1614</v>
      </c>
      <c r="C10" s="6" t="s">
        <v>1101</v>
      </c>
      <c r="D10" s="6" t="s">
        <v>1360</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1903</v>
      </c>
    </row>
    <row r="11" spans="1:29" x14ac:dyDescent="0.2">
      <c r="A11" s="10" t="str">
        <f>'Template names'!C18</f>
        <v>1st yr of long term forecast</v>
      </c>
      <c r="B11" s="6" t="s">
        <v>1698</v>
      </c>
      <c r="C11" s="6" t="s">
        <v>1699</v>
      </c>
      <c r="D11" s="6" t="s">
        <v>1700</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1909</v>
      </c>
    </row>
    <row r="12" spans="1:29" x14ac:dyDescent="0.2">
      <c r="A12" s="10" t="str">
        <f>'Template names'!C19</f>
        <v>Next yr of long term forecast</v>
      </c>
      <c r="B12" s="6" t="s">
        <v>1699</v>
      </c>
      <c r="C12" s="6" t="s">
        <v>1700</v>
      </c>
      <c r="D12" s="6" t="s">
        <v>1701</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1910</v>
      </c>
    </row>
    <row r="13" spans="1:29" x14ac:dyDescent="0.2">
      <c r="A13" s="10" t="str">
        <f>'Template names'!C20</f>
        <v>Next yr of long term forecast</v>
      </c>
      <c r="B13" s="6" t="s">
        <v>1700</v>
      </c>
      <c r="C13" s="6" t="s">
        <v>1701</v>
      </c>
      <c r="D13" s="6" t="s">
        <v>909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1701</v>
      </c>
      <c r="C14" s="6" t="s">
        <v>909</v>
      </c>
      <c r="D14" s="6" t="s">
        <v>910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1163" t="s">
        <v>1973</v>
      </c>
      <c r="AA14" s="1163" t="s">
        <v>1974</v>
      </c>
    </row>
    <row r="15" spans="1:29" x14ac:dyDescent="0.2">
      <c r="A15" s="10" t="str">
        <f>'Template names'!C22</f>
        <v>Next yr of long term forecast</v>
      </c>
      <c r="B15" s="6" t="s">
        <v>909</v>
      </c>
      <c r="C15" s="6" t="s">
        <v>910</v>
      </c>
      <c r="D15" s="6" t="s">
        <v>911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910</v>
      </c>
      <c r="C16" s="6" t="s">
        <v>911</v>
      </c>
      <c r="D16" s="6" t="s">
        <v>912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533</v>
      </c>
      <c r="AA16" s="2" t="s">
        <v>534</v>
      </c>
    </row>
    <row r="17" spans="1:27" x14ac:dyDescent="0.2">
      <c r="A17" s="10" t="str">
        <f>'Template names'!C24</f>
        <v>Next yr of long term forecast</v>
      </c>
      <c r="B17" s="6" t="s">
        <v>911</v>
      </c>
      <c r="C17" s="6" t="s">
        <v>912</v>
      </c>
      <c r="D17" s="6" t="s">
        <v>1538</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535</v>
      </c>
    </row>
    <row r="18" spans="1:27" x14ac:dyDescent="0.2">
      <c r="A18" s="10" t="str">
        <f>'Template names'!C25</f>
        <v>Next yr of long term forecast</v>
      </c>
      <c r="B18" s="6" t="s">
        <v>912</v>
      </c>
      <c r="C18" s="6" t="s">
        <v>1538</v>
      </c>
      <c r="D18" s="6" t="s">
        <v>1537</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1538</v>
      </c>
      <c r="C19" s="6" t="s">
        <v>1537</v>
      </c>
      <c r="D19" s="6" t="s">
        <v>913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1537</v>
      </c>
      <c r="C20" s="6" t="s">
        <v>913</v>
      </c>
      <c r="D20" s="6" t="s">
        <v>1611</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137</v>
      </c>
    </row>
    <row r="21" spans="1:27" x14ac:dyDescent="0.2">
      <c r="A21" s="10" t="str">
        <f>'Template names'!C28</f>
        <v>Next yr of long term forecast</v>
      </c>
      <c r="B21" s="6" t="s">
        <v>913</v>
      </c>
      <c r="C21" s="6" t="s">
        <v>1611</v>
      </c>
      <c r="D21" s="6" t="s">
        <v>1102</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1556</v>
      </c>
      <c r="AA21" s="2" t="s">
        <v>25</v>
      </c>
    </row>
    <row r="22" spans="1:27" x14ac:dyDescent="0.2">
      <c r="A22" s="10" t="str">
        <f>'Template names'!C29</f>
        <v>Next yr of long term forecast</v>
      </c>
      <c r="B22" s="6" t="s">
        <v>1611</v>
      </c>
      <c r="C22" s="6" t="s">
        <v>1102</v>
      </c>
      <c r="D22" s="6" t="s">
        <v>1361</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1975</v>
      </c>
      <c r="AA22" s="2" t="s">
        <v>26</v>
      </c>
    </row>
    <row r="23" spans="1:27" x14ac:dyDescent="0.2">
      <c r="A23" s="10" t="s">
        <v>1364</v>
      </c>
      <c r="B23" s="6" t="s">
        <v>1723</v>
      </c>
      <c r="C23" s="6" t="s">
        <v>1103</v>
      </c>
      <c r="D23" s="6" t="s">
        <v>1362</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1976</v>
      </c>
      <c r="AA23" s="2" t="s">
        <v>27</v>
      </c>
    </row>
    <row r="24" spans="1:27" x14ac:dyDescent="0.2">
      <c r="A24" s="11" t="str">
        <f>A23</f>
        <v>Adjustments Budget</v>
      </c>
      <c r="B24" s="19" t="s">
        <v>1724</v>
      </c>
      <c r="C24" s="19" t="s">
        <v>1104</v>
      </c>
      <c r="D24" s="19" t="s">
        <v>1363</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1981</v>
      </c>
      <c r="AA24" s="2" t="s">
        <v>29</v>
      </c>
    </row>
    <row r="25" spans="1:27" ht="18" x14ac:dyDescent="0.25">
      <c r="A25" s="1017" t="s">
        <v>540</v>
      </c>
      <c r="Z25" s="2" t="s">
        <v>1525</v>
      </c>
      <c r="AA25" s="2" t="s">
        <v>1078</v>
      </c>
    </row>
    <row r="26" spans="1:27" x14ac:dyDescent="0.2">
      <c r="Z26" s="2" t="s">
        <v>136</v>
      </c>
      <c r="AA26" s="2" t="s">
        <v>320</v>
      </c>
    </row>
    <row r="27" spans="1:27" ht="12.75" x14ac:dyDescent="0.2">
      <c r="A27" s="1514" t="s">
        <v>93</v>
      </c>
      <c r="B27" s="1514">
        <v>186</v>
      </c>
      <c r="C27" s="1514"/>
      <c r="D27" s="1514"/>
      <c r="Z27" s="2" t="s">
        <v>877</v>
      </c>
      <c r="AA27" s="2" t="s">
        <v>138</v>
      </c>
    </row>
    <row r="28" spans="1:27" ht="12.75" x14ac:dyDescent="0.2">
      <c r="A28" s="1514" t="s">
        <v>92</v>
      </c>
      <c r="B28" s="1514" t="str">
        <f>INDEX(B29:B307,B27,1)</f>
        <v>MP315 Thembisile Hani</v>
      </c>
      <c r="C28" s="1514"/>
      <c r="D28" s="1514"/>
      <c r="Z28" s="2" t="s">
        <v>292</v>
      </c>
      <c r="AA28" s="2" t="s">
        <v>2</v>
      </c>
    </row>
    <row r="29" spans="1:27" ht="12.75" x14ac:dyDescent="0.2">
      <c r="A29" s="1514"/>
      <c r="B29" s="1514" t="s">
        <v>91</v>
      </c>
      <c r="C29" s="1514" t="s">
        <v>737</v>
      </c>
      <c r="D29" s="1514"/>
      <c r="AA29" s="2" t="s">
        <v>1576</v>
      </c>
    </row>
    <row r="30" spans="1:27" ht="12.75" x14ac:dyDescent="0.2">
      <c r="A30" s="1514"/>
      <c r="B30" s="1527" t="s">
        <v>2239</v>
      </c>
      <c r="C30" s="1441" t="s">
        <v>117</v>
      </c>
      <c r="D30" s="1514"/>
      <c r="AA30" s="2" t="s">
        <v>503</v>
      </c>
    </row>
    <row r="31" spans="1:27" ht="12.75" x14ac:dyDescent="0.2">
      <c r="A31" s="1514"/>
      <c r="B31" s="1527" t="s">
        <v>2240</v>
      </c>
      <c r="C31" s="1443" t="s">
        <v>117</v>
      </c>
      <c r="D31" s="1514"/>
      <c r="AA31" s="2" t="s">
        <v>1</v>
      </c>
    </row>
    <row r="32" spans="1:27" ht="12.75" x14ac:dyDescent="0.2">
      <c r="A32" s="1514"/>
      <c r="B32" s="1527" t="s">
        <v>1178</v>
      </c>
      <c r="C32" s="1441" t="s">
        <v>117</v>
      </c>
      <c r="D32" s="1514"/>
      <c r="AA32" s="2" t="s">
        <v>339</v>
      </c>
    </row>
    <row r="33" spans="1:27" ht="12.75" x14ac:dyDescent="0.2">
      <c r="A33" s="1514"/>
      <c r="B33" s="1527" t="s">
        <v>1179</v>
      </c>
      <c r="C33" s="1441" t="s">
        <v>117</v>
      </c>
      <c r="D33" s="1514"/>
      <c r="AA33" s="2" t="s">
        <v>0</v>
      </c>
    </row>
    <row r="34" spans="1:27" ht="12.75" x14ac:dyDescent="0.2">
      <c r="A34" s="1514"/>
      <c r="B34" s="1527" t="s">
        <v>1180</v>
      </c>
      <c r="C34" s="1441" t="s">
        <v>117</v>
      </c>
      <c r="D34" s="1514"/>
      <c r="AA34" s="2" t="s">
        <v>1577</v>
      </c>
    </row>
    <row r="35" spans="1:27" ht="12.75" x14ac:dyDescent="0.2">
      <c r="A35" s="1514"/>
      <c r="B35" s="1527" t="s">
        <v>1181</v>
      </c>
      <c r="C35" s="1441" t="s">
        <v>117</v>
      </c>
      <c r="D35" s="1514"/>
      <c r="AA35" s="2" t="s">
        <v>954</v>
      </c>
    </row>
    <row r="36" spans="1:27" ht="12.75" x14ac:dyDescent="0.2">
      <c r="A36" s="1514"/>
      <c r="B36" s="1527" t="s">
        <v>1182</v>
      </c>
      <c r="C36" s="1441" t="s">
        <v>117</v>
      </c>
      <c r="D36" s="1514"/>
      <c r="AA36" s="2" t="s">
        <v>1512</v>
      </c>
    </row>
    <row r="37" spans="1:27" ht="12.75" x14ac:dyDescent="0.2">
      <c r="A37" s="1514"/>
      <c r="B37" s="1527" t="s">
        <v>1183</v>
      </c>
      <c r="C37" s="1443" t="s">
        <v>117</v>
      </c>
      <c r="D37" s="1514"/>
      <c r="AA37" s="2" t="s">
        <v>1273</v>
      </c>
    </row>
    <row r="38" spans="1:27" ht="12.75" x14ac:dyDescent="0.2">
      <c r="A38" s="1514"/>
      <c r="B38" s="1527" t="s">
        <v>1184</v>
      </c>
      <c r="C38" s="1441" t="s">
        <v>117</v>
      </c>
      <c r="D38" s="1514"/>
      <c r="AA38" s="2" t="s">
        <v>719</v>
      </c>
    </row>
    <row r="39" spans="1:27" ht="12.75" x14ac:dyDescent="0.2">
      <c r="A39" s="1514"/>
      <c r="B39" s="1527" t="s">
        <v>1185</v>
      </c>
      <c r="C39" s="2006" t="s">
        <v>117</v>
      </c>
      <c r="D39" s="1514"/>
      <c r="AA39" s="2" t="s">
        <v>501</v>
      </c>
    </row>
    <row r="40" spans="1:27" ht="12.75" x14ac:dyDescent="0.2">
      <c r="A40" s="1514"/>
      <c r="B40" s="1527" t="s">
        <v>1886</v>
      </c>
      <c r="C40" s="2006" t="s">
        <v>117</v>
      </c>
      <c r="D40" s="1514"/>
      <c r="AA40" s="2" t="s">
        <v>31</v>
      </c>
    </row>
    <row r="41" spans="1:27" ht="12.75" x14ac:dyDescent="0.2">
      <c r="A41" s="1514"/>
      <c r="B41" s="1527" t="s">
        <v>1026</v>
      </c>
      <c r="C41" s="2007" t="s">
        <v>117</v>
      </c>
      <c r="D41" s="1514"/>
      <c r="AA41" s="2" t="s">
        <v>1245</v>
      </c>
    </row>
    <row r="42" spans="1:27" ht="12.75" x14ac:dyDescent="0.2">
      <c r="A42" s="1514"/>
      <c r="B42" s="1527" t="s">
        <v>1186</v>
      </c>
      <c r="C42" s="2007" t="s">
        <v>117</v>
      </c>
      <c r="D42" s="1514"/>
      <c r="AA42" s="2" t="s">
        <v>502</v>
      </c>
    </row>
    <row r="43" spans="1:27" ht="12.75" x14ac:dyDescent="0.2">
      <c r="A43" s="1514"/>
      <c r="B43" s="1527" t="s">
        <v>1187</v>
      </c>
      <c r="C43" s="2007" t="s">
        <v>117</v>
      </c>
      <c r="D43" s="1514"/>
      <c r="AA43" s="2" t="s">
        <v>628</v>
      </c>
    </row>
    <row r="44" spans="1:27" ht="12.75" x14ac:dyDescent="0.2">
      <c r="A44" s="1514"/>
      <c r="B44" s="1527" t="s">
        <v>1188</v>
      </c>
      <c r="C44" s="2007" t="s">
        <v>117</v>
      </c>
      <c r="D44" s="1514"/>
      <c r="AA44" s="2" t="s">
        <v>1977</v>
      </c>
    </row>
    <row r="45" spans="1:27" ht="12.75" x14ac:dyDescent="0.2">
      <c r="A45" s="1514"/>
      <c r="B45" s="1527" t="s">
        <v>1189</v>
      </c>
      <c r="C45" s="2007" t="s">
        <v>117</v>
      </c>
      <c r="D45" s="1514"/>
      <c r="AA45" s="2" t="s">
        <v>1978</v>
      </c>
    </row>
    <row r="46" spans="1:27" ht="12.75" x14ac:dyDescent="0.2">
      <c r="A46" s="1514"/>
      <c r="B46" s="1527" t="s">
        <v>1190</v>
      </c>
      <c r="C46" s="2007" t="s">
        <v>117</v>
      </c>
      <c r="D46" s="1514"/>
      <c r="AA46" s="2" t="s">
        <v>1979</v>
      </c>
    </row>
    <row r="47" spans="1:27" ht="12.75" x14ac:dyDescent="0.2">
      <c r="A47" s="1514"/>
      <c r="B47" s="1527" t="s">
        <v>1191</v>
      </c>
      <c r="C47" s="2007" t="s">
        <v>117</v>
      </c>
      <c r="D47" s="1514"/>
      <c r="AA47" s="2" t="s">
        <v>1980</v>
      </c>
    </row>
    <row r="48" spans="1:27" ht="12.75" x14ac:dyDescent="0.2">
      <c r="A48" s="1514"/>
      <c r="B48" s="1527" t="s">
        <v>1192</v>
      </c>
      <c r="C48" s="2007" t="s">
        <v>117</v>
      </c>
      <c r="D48" s="1514"/>
      <c r="AA48" s="2" t="s">
        <v>1233</v>
      </c>
    </row>
    <row r="49" spans="1:27" ht="12.75" x14ac:dyDescent="0.2">
      <c r="A49" s="1514"/>
      <c r="B49" s="1527" t="s">
        <v>1748</v>
      </c>
      <c r="C49" s="2007" t="s">
        <v>117</v>
      </c>
      <c r="D49" s="1514"/>
      <c r="AA49" s="2" t="s">
        <v>629</v>
      </c>
    </row>
    <row r="50" spans="1:27" ht="12.75" x14ac:dyDescent="0.2">
      <c r="A50" s="1514"/>
      <c r="B50" s="1527" t="s">
        <v>1193</v>
      </c>
      <c r="C50" s="2007" t="s">
        <v>117</v>
      </c>
      <c r="D50" s="1514"/>
      <c r="AA50" s="2" t="s">
        <v>630</v>
      </c>
    </row>
    <row r="51" spans="1:27" ht="12.75" x14ac:dyDescent="0.2">
      <c r="A51" s="1514"/>
      <c r="B51" s="1527" t="s">
        <v>1194</v>
      </c>
      <c r="C51" s="2006" t="s">
        <v>117</v>
      </c>
      <c r="D51" s="1514"/>
      <c r="AA51" s="2" t="s">
        <v>1234</v>
      </c>
    </row>
    <row r="52" spans="1:27" ht="12.75" x14ac:dyDescent="0.2">
      <c r="A52" s="1514"/>
      <c r="B52" s="1527" t="s">
        <v>1195</v>
      </c>
      <c r="C52" s="2006" t="s">
        <v>117</v>
      </c>
      <c r="D52" s="1514"/>
      <c r="AA52" s="2" t="s">
        <v>1235</v>
      </c>
    </row>
    <row r="53" spans="1:27" ht="12.75" x14ac:dyDescent="0.2">
      <c r="A53" s="1514"/>
      <c r="B53" s="1527" t="s">
        <v>181</v>
      </c>
      <c r="C53" s="2006" t="s">
        <v>117</v>
      </c>
      <c r="D53" s="1514"/>
      <c r="AA53" s="2" t="s">
        <v>1510</v>
      </c>
    </row>
    <row r="54" spans="1:27" ht="12.75" x14ac:dyDescent="0.2">
      <c r="A54" s="1514"/>
      <c r="B54" s="1527" t="s">
        <v>182</v>
      </c>
      <c r="C54" s="2006" t="s">
        <v>117</v>
      </c>
      <c r="D54" s="1514"/>
      <c r="AA54" s="2" t="s">
        <v>322</v>
      </c>
    </row>
    <row r="55" spans="1:27" ht="12.75" x14ac:dyDescent="0.2">
      <c r="A55" s="1514"/>
      <c r="B55" s="1527" t="s">
        <v>2248</v>
      </c>
      <c r="C55" s="2006" t="s">
        <v>117</v>
      </c>
      <c r="D55" s="1514"/>
      <c r="AA55" s="2" t="s">
        <v>321</v>
      </c>
    </row>
    <row r="56" spans="1:27" ht="12.75" x14ac:dyDescent="0.2">
      <c r="A56" s="1514"/>
      <c r="B56" s="1527" t="s">
        <v>183</v>
      </c>
      <c r="C56" s="2006" t="s">
        <v>117</v>
      </c>
      <c r="D56" s="1514"/>
      <c r="AA56" s="2" t="s">
        <v>631</v>
      </c>
    </row>
    <row r="57" spans="1:27" ht="12.75" x14ac:dyDescent="0.2">
      <c r="A57" s="1514"/>
      <c r="B57" s="1527" t="s">
        <v>184</v>
      </c>
      <c r="C57" s="1440" t="s">
        <v>117</v>
      </c>
      <c r="D57" s="1514"/>
      <c r="AA57" s="2" t="s">
        <v>965</v>
      </c>
    </row>
    <row r="58" spans="1:27" ht="12.75" x14ac:dyDescent="0.2">
      <c r="A58" s="1514"/>
      <c r="B58" s="1527" t="s">
        <v>1735</v>
      </c>
      <c r="C58" s="1447" t="s">
        <v>117</v>
      </c>
      <c r="D58" s="1514"/>
      <c r="AA58" s="2" t="s">
        <v>292</v>
      </c>
    </row>
    <row r="59" spans="1:27" ht="12.75" x14ac:dyDescent="0.2">
      <c r="A59" s="1514"/>
      <c r="B59" s="1527" t="s">
        <v>185</v>
      </c>
      <c r="C59" s="1447" t="s">
        <v>117</v>
      </c>
      <c r="D59" s="1514"/>
    </row>
    <row r="60" spans="1:27" ht="12.75" x14ac:dyDescent="0.2">
      <c r="A60" s="1514"/>
      <c r="B60" s="1527" t="s">
        <v>186</v>
      </c>
      <c r="C60" s="2006" t="s">
        <v>117</v>
      </c>
      <c r="D60" s="1514"/>
      <c r="Z60" s="1163" t="s">
        <v>2236</v>
      </c>
      <c r="AA60" s="1163"/>
    </row>
    <row r="61" spans="1:27" ht="12.75" x14ac:dyDescent="0.2">
      <c r="A61" s="1514"/>
      <c r="B61" s="1527" t="s">
        <v>187</v>
      </c>
      <c r="C61" s="2006" t="s">
        <v>117</v>
      </c>
      <c r="D61" s="1514"/>
      <c r="Z61" s="2323" t="s">
        <v>2050</v>
      </c>
      <c r="AA61" s="2323" t="s">
        <v>2051</v>
      </c>
    </row>
    <row r="62" spans="1:27" ht="12.75" x14ac:dyDescent="0.2">
      <c r="A62" s="1514"/>
      <c r="B62" s="1527" t="s">
        <v>851</v>
      </c>
      <c r="C62" s="2006" t="s">
        <v>117</v>
      </c>
      <c r="D62" s="1514"/>
      <c r="Z62" s="2324" t="s">
        <v>425</v>
      </c>
      <c r="AA62" s="2324" t="s">
        <v>2049</v>
      </c>
    </row>
    <row r="63" spans="1:27" ht="12.75" x14ac:dyDescent="0.2">
      <c r="A63" s="1514"/>
      <c r="B63" s="1527" t="s">
        <v>1883</v>
      </c>
      <c r="C63" s="2006" t="s">
        <v>117</v>
      </c>
      <c r="D63" s="1514"/>
      <c r="Z63" s="2324" t="s">
        <v>822</v>
      </c>
      <c r="AA63" s="2324" t="s">
        <v>1672</v>
      </c>
    </row>
    <row r="64" spans="1:27" ht="12.75" x14ac:dyDescent="0.2">
      <c r="A64" s="1514"/>
      <c r="B64" s="1527" t="s">
        <v>1751</v>
      </c>
      <c r="C64" s="2007" t="s">
        <v>117</v>
      </c>
      <c r="D64" s="1514"/>
    </row>
    <row r="65" spans="1:26" ht="12.75" x14ac:dyDescent="0.2">
      <c r="A65" s="1514"/>
      <c r="B65" s="1527" t="s">
        <v>852</v>
      </c>
      <c r="C65" s="2006" t="s">
        <v>117</v>
      </c>
      <c r="D65" s="1514"/>
    </row>
    <row r="66" spans="1:26" ht="12.75" x14ac:dyDescent="0.2">
      <c r="A66" s="1514"/>
      <c r="B66" s="1527" t="s">
        <v>853</v>
      </c>
      <c r="C66" s="2006" t="s">
        <v>117</v>
      </c>
      <c r="D66" s="1514"/>
      <c r="Z66" s="1163" t="s">
        <v>2237</v>
      </c>
    </row>
    <row r="67" spans="1:26" ht="12.75" x14ac:dyDescent="0.2">
      <c r="A67" s="1514"/>
      <c r="B67" s="1527" t="s">
        <v>854</v>
      </c>
      <c r="C67" s="2006" t="s">
        <v>117</v>
      </c>
      <c r="D67" s="1514"/>
      <c r="Z67" s="2" t="s">
        <v>425</v>
      </c>
    </row>
    <row r="68" spans="1:26" ht="12.75" x14ac:dyDescent="0.2">
      <c r="A68" s="1514"/>
      <c r="B68" s="1527" t="s">
        <v>855</v>
      </c>
      <c r="C68" s="2006" t="s">
        <v>117</v>
      </c>
      <c r="D68" s="1514"/>
      <c r="Z68" s="2" t="s">
        <v>822</v>
      </c>
    </row>
    <row r="69" spans="1:26" ht="12.75" x14ac:dyDescent="0.2">
      <c r="A69" s="1514"/>
      <c r="B69" s="1527" t="s">
        <v>1737</v>
      </c>
      <c r="C69" s="2006" t="s">
        <v>117</v>
      </c>
      <c r="D69" s="1514"/>
    </row>
    <row r="70" spans="1:26" ht="12.75" x14ac:dyDescent="0.2">
      <c r="A70" s="1514"/>
      <c r="B70" s="1527" t="s">
        <v>1752</v>
      </c>
      <c r="C70" s="2006" t="s">
        <v>117</v>
      </c>
      <c r="D70" s="1514"/>
    </row>
    <row r="71" spans="1:26" ht="12.75" x14ac:dyDescent="0.2">
      <c r="A71" s="1514"/>
      <c r="B71" s="1527" t="s">
        <v>1753</v>
      </c>
      <c r="C71" s="2006" t="s">
        <v>117</v>
      </c>
      <c r="D71" s="1514"/>
    </row>
    <row r="72" spans="1:26" ht="12.75" x14ac:dyDescent="0.2">
      <c r="A72" s="1514"/>
      <c r="B72" s="1527" t="s">
        <v>1950</v>
      </c>
      <c r="C72" s="2006" t="s">
        <v>117</v>
      </c>
      <c r="D72" s="1514"/>
    </row>
    <row r="73" spans="1:26" ht="12.75" x14ac:dyDescent="0.2">
      <c r="A73" s="1514"/>
      <c r="B73" s="1527" t="s">
        <v>1951</v>
      </c>
      <c r="C73" s="2006" t="s">
        <v>117</v>
      </c>
      <c r="D73" s="1514"/>
    </row>
    <row r="74" spans="1:26" ht="12.75" x14ac:dyDescent="0.2">
      <c r="A74" s="1514"/>
      <c r="B74" s="1527" t="s">
        <v>488</v>
      </c>
      <c r="C74" s="2006" t="s">
        <v>117</v>
      </c>
      <c r="D74" s="1514"/>
    </row>
    <row r="75" spans="1:26" ht="12.75" x14ac:dyDescent="0.2">
      <c r="A75" s="1514"/>
      <c r="B75" s="1527" t="s">
        <v>2241</v>
      </c>
      <c r="C75" s="2006" t="s">
        <v>1739</v>
      </c>
      <c r="D75" s="1514"/>
    </row>
    <row r="76" spans="1:26" ht="12.75" x14ac:dyDescent="0.2">
      <c r="A76" s="1514"/>
      <c r="B76" s="1527" t="s">
        <v>856</v>
      </c>
      <c r="C76" s="2006" t="s">
        <v>1739</v>
      </c>
      <c r="D76" s="1514"/>
    </row>
    <row r="77" spans="1:26" ht="12.75" x14ac:dyDescent="0.2">
      <c r="A77" s="1514"/>
      <c r="B77" s="1527" t="s">
        <v>857</v>
      </c>
      <c r="C77" s="2006" t="s">
        <v>1739</v>
      </c>
      <c r="D77" s="1514"/>
    </row>
    <row r="78" spans="1:26" ht="12.75" x14ac:dyDescent="0.2">
      <c r="A78" s="1514"/>
      <c r="B78" s="1527" t="s">
        <v>858</v>
      </c>
      <c r="C78" s="2006" t="s">
        <v>1739</v>
      </c>
      <c r="D78" s="1514"/>
    </row>
    <row r="79" spans="1:26" ht="12.75" x14ac:dyDescent="0.2">
      <c r="A79" s="1514"/>
      <c r="B79" s="1527" t="s">
        <v>1952</v>
      </c>
      <c r="C79" s="2006" t="s">
        <v>1739</v>
      </c>
      <c r="D79" s="1514"/>
    </row>
    <row r="80" spans="1:26" ht="12.75" x14ac:dyDescent="0.2">
      <c r="A80" s="1514"/>
      <c r="B80" s="1527" t="s">
        <v>1738</v>
      </c>
      <c r="C80" s="2006" t="s">
        <v>1739</v>
      </c>
      <c r="D80" s="1514"/>
    </row>
    <row r="81" spans="1:4" ht="12.75" x14ac:dyDescent="0.2">
      <c r="A81" s="1514"/>
      <c r="B81" s="1527" t="s">
        <v>859</v>
      </c>
      <c r="C81" s="2006" t="s">
        <v>1739</v>
      </c>
      <c r="D81" s="1514"/>
    </row>
    <row r="82" spans="1:4" ht="12.75" x14ac:dyDescent="0.2">
      <c r="A82" s="1514"/>
      <c r="B82" s="1527" t="s">
        <v>860</v>
      </c>
      <c r="C82" s="2006" t="s">
        <v>1739</v>
      </c>
      <c r="D82" s="1514"/>
    </row>
    <row r="83" spans="1:4" ht="12.75" x14ac:dyDescent="0.2">
      <c r="A83" s="1514"/>
      <c r="B83" s="1527" t="s">
        <v>861</v>
      </c>
      <c r="C83" s="2006" t="s">
        <v>1739</v>
      </c>
      <c r="D83" s="1514"/>
    </row>
    <row r="84" spans="1:4" ht="12.75" x14ac:dyDescent="0.2">
      <c r="A84" s="1514"/>
      <c r="B84" s="1527" t="s">
        <v>862</v>
      </c>
      <c r="C84" s="2006" t="s">
        <v>1739</v>
      </c>
      <c r="D84" s="1514"/>
    </row>
    <row r="85" spans="1:4" ht="12.75" x14ac:dyDescent="0.2">
      <c r="A85" s="1514"/>
      <c r="B85" s="1527" t="s">
        <v>863</v>
      </c>
      <c r="C85" s="2006" t="s">
        <v>1739</v>
      </c>
      <c r="D85" s="1514"/>
    </row>
    <row r="86" spans="1:4" ht="12.75" x14ac:dyDescent="0.2">
      <c r="A86" s="1514"/>
      <c r="B86" s="1527" t="s">
        <v>1742</v>
      </c>
      <c r="C86" s="2006" t="s">
        <v>1739</v>
      </c>
      <c r="D86" s="1514"/>
    </row>
    <row r="87" spans="1:4" ht="12.75" x14ac:dyDescent="0.2">
      <c r="A87" s="1514"/>
      <c r="B87" s="1527" t="s">
        <v>864</v>
      </c>
      <c r="C87" s="2006" t="s">
        <v>1739</v>
      </c>
      <c r="D87" s="1514"/>
    </row>
    <row r="88" spans="1:4" ht="12.75" x14ac:dyDescent="0.2">
      <c r="A88" s="1514"/>
      <c r="B88" s="1527" t="s">
        <v>865</v>
      </c>
      <c r="C88" s="2006" t="s">
        <v>1739</v>
      </c>
      <c r="D88" s="1514"/>
    </row>
    <row r="89" spans="1:4" ht="12.75" x14ac:dyDescent="0.2">
      <c r="A89" s="1514"/>
      <c r="B89" s="1527" t="s">
        <v>866</v>
      </c>
      <c r="C89" s="2006" t="s">
        <v>1739</v>
      </c>
      <c r="D89" s="1514"/>
    </row>
    <row r="90" spans="1:4" ht="12.75" x14ac:dyDescent="0.2">
      <c r="A90" s="1514"/>
      <c r="B90" s="1527" t="s">
        <v>1754</v>
      </c>
      <c r="C90" s="2006" t="s">
        <v>1739</v>
      </c>
      <c r="D90" s="1514"/>
    </row>
    <row r="91" spans="1:4" ht="12.75" x14ac:dyDescent="0.2">
      <c r="A91" s="1514"/>
      <c r="B91" s="1527" t="s">
        <v>867</v>
      </c>
      <c r="C91" s="2006" t="s">
        <v>1739</v>
      </c>
      <c r="D91" s="1514"/>
    </row>
    <row r="92" spans="1:4" ht="12.75" x14ac:dyDescent="0.2">
      <c r="A92" s="1514"/>
      <c r="B92" s="1527" t="s">
        <v>1953</v>
      </c>
      <c r="C92" s="2006" t="s">
        <v>1739</v>
      </c>
      <c r="D92" s="1514"/>
    </row>
    <row r="93" spans="1:4" ht="12.75" x14ac:dyDescent="0.2">
      <c r="A93" s="1514"/>
      <c r="B93" s="1527" t="s">
        <v>1744</v>
      </c>
      <c r="C93" s="2006" t="s">
        <v>1739</v>
      </c>
      <c r="D93" s="1514"/>
    </row>
    <row r="94" spans="1:4" ht="12.75" x14ac:dyDescent="0.2">
      <c r="A94" s="1514"/>
      <c r="B94" s="1527" t="s">
        <v>868</v>
      </c>
      <c r="C94" s="2006" t="s">
        <v>1739</v>
      </c>
      <c r="D94" s="1514"/>
    </row>
    <row r="95" spans="1:4" ht="12.75" x14ac:dyDescent="0.2">
      <c r="A95" s="1514"/>
      <c r="B95" s="1527" t="s">
        <v>869</v>
      </c>
      <c r="C95" s="2006" t="s">
        <v>1739</v>
      </c>
      <c r="D95" s="1514"/>
    </row>
    <row r="96" spans="1:4" ht="12.75" x14ac:dyDescent="0.2">
      <c r="A96" s="1514"/>
      <c r="B96" s="1527" t="s">
        <v>895</v>
      </c>
      <c r="C96" s="2006" t="s">
        <v>1739</v>
      </c>
      <c r="D96" s="1514"/>
    </row>
    <row r="97" spans="1:4" ht="12.75" x14ac:dyDescent="0.2">
      <c r="A97" s="1514"/>
      <c r="B97" s="1527" t="s">
        <v>896</v>
      </c>
      <c r="C97" s="2006" t="s">
        <v>1739</v>
      </c>
      <c r="D97" s="1514"/>
    </row>
    <row r="98" spans="1:4" ht="12.75" x14ac:dyDescent="0.2">
      <c r="A98" s="1514"/>
      <c r="B98" s="1527" t="s">
        <v>1747</v>
      </c>
      <c r="C98" s="2006" t="s">
        <v>1739</v>
      </c>
      <c r="D98" s="1514"/>
    </row>
    <row r="99" spans="1:4" ht="12.75" x14ac:dyDescent="0.2">
      <c r="A99" s="1514"/>
      <c r="B99" s="1527" t="s">
        <v>2242</v>
      </c>
      <c r="C99" s="2006" t="s">
        <v>1171</v>
      </c>
      <c r="D99" s="1514"/>
    </row>
    <row r="100" spans="1:4" ht="12.75" x14ac:dyDescent="0.2">
      <c r="A100" s="1514"/>
      <c r="B100" s="1527" t="s">
        <v>2243</v>
      </c>
      <c r="C100" s="2006" t="s">
        <v>1171</v>
      </c>
      <c r="D100" s="1514"/>
    </row>
    <row r="101" spans="1:4" ht="12.75" x14ac:dyDescent="0.2">
      <c r="A101" s="1514"/>
      <c r="B101" s="1527" t="s">
        <v>2244</v>
      </c>
      <c r="C101" s="2006" t="s">
        <v>1171</v>
      </c>
      <c r="D101" s="1514"/>
    </row>
    <row r="102" spans="1:4" ht="12.75" x14ac:dyDescent="0.2">
      <c r="A102" s="1514"/>
      <c r="B102" s="1527" t="s">
        <v>897</v>
      </c>
      <c r="C102" s="2006" t="s">
        <v>1171</v>
      </c>
      <c r="D102" s="1514"/>
    </row>
    <row r="103" spans="1:4" ht="12.75" x14ac:dyDescent="0.2">
      <c r="A103" s="1514"/>
      <c r="B103" s="1527" t="s">
        <v>898</v>
      </c>
      <c r="C103" s="2006" t="s">
        <v>1171</v>
      </c>
      <c r="D103" s="1514"/>
    </row>
    <row r="104" spans="1:4" ht="12.75" x14ac:dyDescent="0.2">
      <c r="A104" s="1514"/>
      <c r="B104" s="1527" t="s">
        <v>244</v>
      </c>
      <c r="C104" s="2006" t="s">
        <v>1171</v>
      </c>
      <c r="D104" s="1514"/>
    </row>
    <row r="105" spans="1:4" ht="12.75" x14ac:dyDescent="0.2">
      <c r="A105" s="1514"/>
      <c r="B105" s="1527" t="s">
        <v>1170</v>
      </c>
      <c r="C105" s="2006" t="s">
        <v>1171</v>
      </c>
      <c r="D105" s="1514"/>
    </row>
    <row r="106" spans="1:4" ht="12.75" x14ac:dyDescent="0.2">
      <c r="A106" s="1514"/>
      <c r="B106" s="1527" t="s">
        <v>829</v>
      </c>
      <c r="C106" s="2006" t="s">
        <v>1171</v>
      </c>
      <c r="D106" s="1514"/>
    </row>
    <row r="107" spans="1:4" ht="12.75" x14ac:dyDescent="0.2">
      <c r="A107" s="1514"/>
      <c r="B107" s="1527" t="s">
        <v>830</v>
      </c>
      <c r="C107" s="2006" t="s">
        <v>1171</v>
      </c>
      <c r="D107" s="1514"/>
    </row>
    <row r="108" spans="1:4" ht="12.75" x14ac:dyDescent="0.2">
      <c r="A108" s="1514"/>
      <c r="B108" s="1527" t="s">
        <v>831</v>
      </c>
      <c r="C108" s="2006" t="s">
        <v>1171</v>
      </c>
      <c r="D108" s="1514"/>
    </row>
    <row r="109" spans="1:4" ht="12.75" x14ac:dyDescent="0.2">
      <c r="A109" s="1514"/>
      <c r="B109" s="1527" t="s">
        <v>1887</v>
      </c>
      <c r="C109" s="2006" t="s">
        <v>1171</v>
      </c>
      <c r="D109" s="1514"/>
    </row>
    <row r="110" spans="1:4" ht="12.75" x14ac:dyDescent="0.2">
      <c r="A110" s="1514"/>
      <c r="B110" s="1527" t="s">
        <v>1172</v>
      </c>
      <c r="C110" s="2006" t="s">
        <v>1171</v>
      </c>
      <c r="D110" s="1514"/>
    </row>
    <row r="111" spans="1:4" ht="12.75" x14ac:dyDescent="0.2">
      <c r="A111" s="1514"/>
      <c r="B111" s="1527" t="s">
        <v>2245</v>
      </c>
      <c r="C111" s="2006" t="s">
        <v>1884</v>
      </c>
      <c r="D111" s="1514"/>
    </row>
    <row r="112" spans="1:4" ht="12.75" x14ac:dyDescent="0.2">
      <c r="A112" s="1514"/>
      <c r="B112" s="1527" t="s">
        <v>1755</v>
      </c>
      <c r="C112" s="2006" t="s">
        <v>1884</v>
      </c>
      <c r="D112" s="1514"/>
    </row>
    <row r="113" spans="1:4" ht="12.75" x14ac:dyDescent="0.2">
      <c r="A113" s="1514"/>
      <c r="B113" s="1527" t="s">
        <v>1756</v>
      </c>
      <c r="C113" s="1441" t="s">
        <v>1884</v>
      </c>
      <c r="D113" s="1514"/>
    </row>
    <row r="114" spans="1:4" ht="12.75" x14ac:dyDescent="0.2">
      <c r="A114" s="1514"/>
      <c r="B114" s="1527" t="s">
        <v>1757</v>
      </c>
      <c r="C114" s="1441" t="s">
        <v>1884</v>
      </c>
      <c r="D114" s="1514"/>
    </row>
    <row r="115" spans="1:4" ht="12.75" x14ac:dyDescent="0.2">
      <c r="A115" s="1514"/>
      <c r="B115" s="1527" t="s">
        <v>1758</v>
      </c>
      <c r="C115" s="1441" t="s">
        <v>1884</v>
      </c>
      <c r="D115" s="1514"/>
    </row>
    <row r="116" spans="1:4" ht="12.75" x14ac:dyDescent="0.2">
      <c r="A116" s="1514"/>
      <c r="B116" s="1527" t="s">
        <v>1888</v>
      </c>
      <c r="C116" s="1441" t="s">
        <v>1884</v>
      </c>
      <c r="D116" s="1514"/>
    </row>
    <row r="117" spans="1:4" ht="12.75" x14ac:dyDescent="0.2">
      <c r="A117" s="1514"/>
      <c r="B117" s="1527" t="s">
        <v>1759</v>
      </c>
      <c r="C117" s="1441" t="s">
        <v>1884</v>
      </c>
      <c r="D117" s="1514"/>
    </row>
    <row r="118" spans="1:4" ht="12.75" x14ac:dyDescent="0.2">
      <c r="A118" s="1514"/>
      <c r="B118" s="1527" t="s">
        <v>1127</v>
      </c>
      <c r="C118" s="1441" t="s">
        <v>1884</v>
      </c>
      <c r="D118" s="1514"/>
    </row>
    <row r="119" spans="1:4" ht="12.75" x14ac:dyDescent="0.2">
      <c r="A119" s="1514"/>
      <c r="B119" s="1527" t="s">
        <v>1760</v>
      </c>
      <c r="C119" s="1441" t="s">
        <v>1884</v>
      </c>
      <c r="D119" s="1514"/>
    </row>
    <row r="120" spans="1:4" ht="12.75" x14ac:dyDescent="0.2">
      <c r="A120" s="1514"/>
      <c r="B120" s="1527" t="s">
        <v>1761</v>
      </c>
      <c r="C120" s="1441" t="s">
        <v>1884</v>
      </c>
      <c r="D120" s="1514"/>
    </row>
    <row r="121" spans="1:4" ht="12.75" x14ac:dyDescent="0.2">
      <c r="A121" s="1514"/>
      <c r="B121" s="1527" t="s">
        <v>1762</v>
      </c>
      <c r="C121" s="1441" t="s">
        <v>1884</v>
      </c>
      <c r="D121" s="1514"/>
    </row>
    <row r="122" spans="1:4" ht="12.75" x14ac:dyDescent="0.2">
      <c r="A122" s="1514"/>
      <c r="B122" s="1527" t="s">
        <v>1763</v>
      </c>
      <c r="C122" s="1441" t="s">
        <v>1884</v>
      </c>
      <c r="D122" s="1514"/>
    </row>
    <row r="123" spans="1:4" ht="12.75" x14ac:dyDescent="0.2">
      <c r="A123" s="1514"/>
      <c r="B123" s="1527" t="s">
        <v>1764</v>
      </c>
      <c r="C123" s="1441" t="s">
        <v>1884</v>
      </c>
      <c r="D123" s="1514"/>
    </row>
    <row r="124" spans="1:4" ht="12.75" x14ac:dyDescent="0.2">
      <c r="A124" s="1514"/>
      <c r="B124" s="1527" t="s">
        <v>1765</v>
      </c>
      <c r="C124" s="1441" t="s">
        <v>1884</v>
      </c>
      <c r="D124" s="1514"/>
    </row>
    <row r="125" spans="1:4" ht="12.75" x14ac:dyDescent="0.2">
      <c r="A125" s="1514"/>
      <c r="B125" s="1527" t="s">
        <v>1766</v>
      </c>
      <c r="C125" s="1441" t="s">
        <v>1884</v>
      </c>
      <c r="D125" s="1514"/>
    </row>
    <row r="126" spans="1:4" ht="12.75" x14ac:dyDescent="0.2">
      <c r="A126" s="1514"/>
      <c r="B126" s="1527" t="s">
        <v>1129</v>
      </c>
      <c r="C126" s="1441" t="s">
        <v>1884</v>
      </c>
      <c r="D126" s="1514"/>
    </row>
    <row r="127" spans="1:4" ht="12.75" x14ac:dyDescent="0.2">
      <c r="A127" s="1514"/>
      <c r="B127" s="1527" t="s">
        <v>1767</v>
      </c>
      <c r="C127" s="1441" t="s">
        <v>1884</v>
      </c>
      <c r="D127" s="1514"/>
    </row>
    <row r="128" spans="1:4" ht="12.75" x14ac:dyDescent="0.2">
      <c r="A128" s="1514"/>
      <c r="B128" s="1527" t="s">
        <v>1768</v>
      </c>
      <c r="C128" s="1441" t="s">
        <v>1884</v>
      </c>
      <c r="D128" s="1514"/>
    </row>
    <row r="129" spans="1:4" ht="12.75" x14ac:dyDescent="0.2">
      <c r="A129" s="1514"/>
      <c r="B129" s="1527" t="s">
        <v>1769</v>
      </c>
      <c r="C129" s="1441" t="s">
        <v>1884</v>
      </c>
      <c r="D129" s="1514"/>
    </row>
    <row r="130" spans="1:4" ht="12.75" x14ac:dyDescent="0.2">
      <c r="A130" s="1514"/>
      <c r="B130" s="1527" t="s">
        <v>1770</v>
      </c>
      <c r="C130" s="1441" t="s">
        <v>1884</v>
      </c>
      <c r="D130" s="1514"/>
    </row>
    <row r="131" spans="1:4" ht="12.75" x14ac:dyDescent="0.2">
      <c r="A131" s="1514"/>
      <c r="B131" s="1527" t="s">
        <v>1771</v>
      </c>
      <c r="C131" s="1441" t="s">
        <v>1884</v>
      </c>
      <c r="D131" s="1514"/>
    </row>
    <row r="132" spans="1:4" ht="12.75" x14ac:dyDescent="0.2">
      <c r="A132" s="1514"/>
      <c r="B132" s="1527" t="s">
        <v>1131</v>
      </c>
      <c r="C132" s="1441" t="s">
        <v>1884</v>
      </c>
      <c r="D132" s="1514"/>
    </row>
    <row r="133" spans="1:4" ht="12.75" x14ac:dyDescent="0.2">
      <c r="A133" s="1514"/>
      <c r="B133" s="1527" t="s">
        <v>1772</v>
      </c>
      <c r="C133" s="2006" t="s">
        <v>1884</v>
      </c>
      <c r="D133" s="1514"/>
    </row>
    <row r="134" spans="1:4" ht="12.75" x14ac:dyDescent="0.2">
      <c r="A134" s="1514"/>
      <c r="B134" s="1527" t="s">
        <v>1773</v>
      </c>
      <c r="C134" s="2006" t="s">
        <v>1884</v>
      </c>
      <c r="D134" s="1514"/>
    </row>
    <row r="135" spans="1:4" ht="12.75" x14ac:dyDescent="0.2">
      <c r="A135" s="1514"/>
      <c r="B135" s="1527" t="s">
        <v>1774</v>
      </c>
      <c r="C135" s="2006" t="s">
        <v>1884</v>
      </c>
      <c r="D135" s="1514"/>
    </row>
    <row r="136" spans="1:4" ht="12.75" x14ac:dyDescent="0.2">
      <c r="A136" s="1514"/>
      <c r="B136" s="1527" t="s">
        <v>1775</v>
      </c>
      <c r="C136" s="2006" t="s">
        <v>1884</v>
      </c>
      <c r="D136" s="1514"/>
    </row>
    <row r="137" spans="1:4" ht="12.75" x14ac:dyDescent="0.2">
      <c r="A137" s="1514"/>
      <c r="B137" s="1527" t="s">
        <v>1132</v>
      </c>
      <c r="C137" s="2006" t="s">
        <v>1884</v>
      </c>
      <c r="D137" s="1514"/>
    </row>
    <row r="138" spans="1:4" ht="12.75" x14ac:dyDescent="0.2">
      <c r="A138" s="1514"/>
      <c r="B138" s="1527" t="s">
        <v>1776</v>
      </c>
      <c r="C138" s="2006" t="s">
        <v>1884</v>
      </c>
      <c r="D138" s="1514"/>
    </row>
    <row r="139" spans="1:4" ht="12.75" x14ac:dyDescent="0.2">
      <c r="A139" s="1514"/>
      <c r="B139" s="1527" t="s">
        <v>1777</v>
      </c>
      <c r="C139" s="2006" t="s">
        <v>1884</v>
      </c>
      <c r="D139" s="1514"/>
    </row>
    <row r="140" spans="1:4" ht="12.75" x14ac:dyDescent="0.2">
      <c r="A140" s="1514"/>
      <c r="B140" s="1527" t="s">
        <v>1778</v>
      </c>
      <c r="C140" s="2006" t="s">
        <v>1884</v>
      </c>
      <c r="D140" s="1514"/>
    </row>
    <row r="141" spans="1:4" ht="12.75" x14ac:dyDescent="0.2">
      <c r="A141" s="1514"/>
      <c r="B141" s="1527" t="s">
        <v>1133</v>
      </c>
      <c r="C141" s="2006" t="s">
        <v>1884</v>
      </c>
      <c r="D141" s="1514"/>
    </row>
    <row r="142" spans="1:4" ht="12.75" x14ac:dyDescent="0.2">
      <c r="A142" s="1514"/>
      <c r="B142" s="1527" t="s">
        <v>1779</v>
      </c>
      <c r="C142" s="2006" t="s">
        <v>1884</v>
      </c>
      <c r="D142" s="1514"/>
    </row>
    <row r="143" spans="1:4" ht="12.75" x14ac:dyDescent="0.2">
      <c r="A143" s="1514"/>
      <c r="B143" s="1527" t="s">
        <v>1780</v>
      </c>
      <c r="C143" s="2007" t="s">
        <v>1884</v>
      </c>
      <c r="D143" s="1514"/>
    </row>
    <row r="144" spans="1:4" ht="12.75" x14ac:dyDescent="0.2">
      <c r="A144" s="1514"/>
      <c r="B144" s="1527" t="s">
        <v>46</v>
      </c>
      <c r="C144" s="2007" t="s">
        <v>1884</v>
      </c>
      <c r="D144" s="1514"/>
    </row>
    <row r="145" spans="1:4" ht="12.75" x14ac:dyDescent="0.2">
      <c r="A145" s="1514"/>
      <c r="B145" s="1527" t="s">
        <v>47</v>
      </c>
      <c r="C145" s="2007" t="s">
        <v>1884</v>
      </c>
      <c r="D145" s="1514"/>
    </row>
    <row r="146" spans="1:4" ht="12.75" x14ac:dyDescent="0.2">
      <c r="A146" s="1514"/>
      <c r="B146" s="1527" t="s">
        <v>48</v>
      </c>
      <c r="C146" s="2007" t="s">
        <v>1884</v>
      </c>
      <c r="D146" s="1514"/>
    </row>
    <row r="147" spans="1:4" ht="12.75" x14ac:dyDescent="0.2">
      <c r="A147" s="1514"/>
      <c r="B147" s="1527" t="s">
        <v>1135</v>
      </c>
      <c r="C147" s="2007" t="s">
        <v>1884</v>
      </c>
      <c r="D147" s="1514"/>
    </row>
    <row r="148" spans="1:4" ht="12.75" x14ac:dyDescent="0.2">
      <c r="A148" s="1514"/>
      <c r="B148" s="1527" t="s">
        <v>49</v>
      </c>
      <c r="C148" s="2007" t="s">
        <v>1884</v>
      </c>
      <c r="D148" s="1514"/>
    </row>
    <row r="149" spans="1:4" ht="12.75" x14ac:dyDescent="0.2">
      <c r="A149" s="1514"/>
      <c r="B149" s="1527" t="s">
        <v>50</v>
      </c>
      <c r="C149" s="2007" t="s">
        <v>1884</v>
      </c>
      <c r="D149" s="1514"/>
    </row>
    <row r="150" spans="1:4" ht="12.75" x14ac:dyDescent="0.2">
      <c r="A150" s="1514"/>
      <c r="B150" s="1527" t="s">
        <v>1889</v>
      </c>
      <c r="C150" s="2007" t="s">
        <v>1884</v>
      </c>
      <c r="D150" s="1514"/>
    </row>
    <row r="151" spans="1:4" ht="12.75" x14ac:dyDescent="0.2">
      <c r="A151" s="1514"/>
      <c r="B151" s="1527" t="s">
        <v>51</v>
      </c>
      <c r="C151" s="2007" t="s">
        <v>1884</v>
      </c>
      <c r="D151" s="1514"/>
    </row>
    <row r="152" spans="1:4" ht="12.75" x14ac:dyDescent="0.2">
      <c r="A152" s="1514"/>
      <c r="B152" s="1527" t="s">
        <v>52</v>
      </c>
      <c r="C152" s="2007" t="s">
        <v>1884</v>
      </c>
      <c r="D152" s="1514"/>
    </row>
    <row r="153" spans="1:4" ht="12.75" x14ac:dyDescent="0.2">
      <c r="A153" s="1514"/>
      <c r="B153" s="1527" t="s">
        <v>1137</v>
      </c>
      <c r="C153" s="2007" t="s">
        <v>1884</v>
      </c>
      <c r="D153" s="1514"/>
    </row>
    <row r="154" spans="1:4" ht="12.75" x14ac:dyDescent="0.2">
      <c r="A154" s="1514"/>
      <c r="B154" s="1527" t="s">
        <v>1890</v>
      </c>
      <c r="C154" s="2007" t="s">
        <v>1884</v>
      </c>
      <c r="D154" s="1514"/>
    </row>
    <row r="155" spans="1:4" ht="12.75" x14ac:dyDescent="0.2">
      <c r="A155" s="1514"/>
      <c r="B155" s="1527" t="s">
        <v>53</v>
      </c>
      <c r="C155" s="2007" t="s">
        <v>1884</v>
      </c>
      <c r="D155" s="1514"/>
    </row>
    <row r="156" spans="1:4" ht="12.75" x14ac:dyDescent="0.2">
      <c r="A156" s="1514"/>
      <c r="B156" s="1527" t="s">
        <v>54</v>
      </c>
      <c r="C156" s="2007" t="s">
        <v>1884</v>
      </c>
      <c r="D156" s="1514"/>
    </row>
    <row r="157" spans="1:4" ht="12.75" x14ac:dyDescent="0.2">
      <c r="A157" s="1514"/>
      <c r="B157" s="1527" t="s">
        <v>1891</v>
      </c>
      <c r="C157" s="2007" t="s">
        <v>1884</v>
      </c>
      <c r="D157" s="1514"/>
    </row>
    <row r="158" spans="1:4" ht="12.75" x14ac:dyDescent="0.2">
      <c r="A158" s="1514"/>
      <c r="B158" s="1527" t="s">
        <v>55</v>
      </c>
      <c r="C158" s="2007" t="s">
        <v>1884</v>
      </c>
      <c r="D158" s="1514"/>
    </row>
    <row r="159" spans="1:4" ht="12.75" x14ac:dyDescent="0.2">
      <c r="A159" s="1514"/>
      <c r="B159" s="1527" t="s">
        <v>56</v>
      </c>
      <c r="C159" s="2007" t="s">
        <v>1884</v>
      </c>
      <c r="D159" s="1514"/>
    </row>
    <row r="160" spans="1:4" ht="12.75" x14ac:dyDescent="0.2">
      <c r="A160" s="1514"/>
      <c r="B160" s="1527" t="s">
        <v>1139</v>
      </c>
      <c r="C160" s="2007" t="s">
        <v>1884</v>
      </c>
      <c r="D160" s="1514"/>
    </row>
    <row r="161" spans="1:4" ht="12.75" x14ac:dyDescent="0.2">
      <c r="A161" s="1514"/>
      <c r="B161" s="1527" t="s">
        <v>57</v>
      </c>
      <c r="C161" s="2007" t="s">
        <v>1884</v>
      </c>
      <c r="D161" s="1514"/>
    </row>
    <row r="162" spans="1:4" ht="12.75" x14ac:dyDescent="0.2">
      <c r="A162" s="1514"/>
      <c r="B162" s="1527" t="s">
        <v>58</v>
      </c>
      <c r="C162" s="2007" t="s">
        <v>1884</v>
      </c>
      <c r="D162" s="1514"/>
    </row>
    <row r="163" spans="1:4" ht="12.75" x14ac:dyDescent="0.2">
      <c r="A163" s="1514"/>
      <c r="B163" s="1527" t="s">
        <v>59</v>
      </c>
      <c r="C163" s="2007" t="s">
        <v>1884</v>
      </c>
      <c r="D163" s="1514"/>
    </row>
    <row r="164" spans="1:4" ht="12.75" x14ac:dyDescent="0.2">
      <c r="A164" s="1514"/>
      <c r="B164" s="1527" t="s">
        <v>60</v>
      </c>
      <c r="C164" s="2007" t="s">
        <v>1884</v>
      </c>
      <c r="D164" s="1514"/>
    </row>
    <row r="165" spans="1:4" ht="12.75" x14ac:dyDescent="0.2">
      <c r="A165" s="1514"/>
      <c r="B165" s="1527" t="s">
        <v>1143</v>
      </c>
      <c r="C165" s="2007" t="s">
        <v>1884</v>
      </c>
      <c r="D165" s="1514"/>
    </row>
    <row r="166" spans="1:4" ht="12.75" x14ac:dyDescent="0.2">
      <c r="A166" s="1514"/>
      <c r="B166" s="1527" t="s">
        <v>61</v>
      </c>
      <c r="C166" s="2007" t="s">
        <v>1884</v>
      </c>
      <c r="D166" s="1514"/>
    </row>
    <row r="167" spans="1:4" ht="12.75" x14ac:dyDescent="0.2">
      <c r="A167" s="1514"/>
      <c r="B167" s="1527" t="s">
        <v>62</v>
      </c>
      <c r="C167" s="2007" t="s">
        <v>1884</v>
      </c>
      <c r="D167" s="1514"/>
    </row>
    <row r="168" spans="1:4" ht="12.75" x14ac:dyDescent="0.2">
      <c r="A168" s="1514"/>
      <c r="B168" s="1527" t="s">
        <v>63</v>
      </c>
      <c r="C168" s="2007" t="s">
        <v>1884</v>
      </c>
      <c r="D168" s="1514"/>
    </row>
    <row r="169" spans="1:4" ht="12.75" x14ac:dyDescent="0.2">
      <c r="A169" s="1514"/>
      <c r="B169" s="1527" t="s">
        <v>64</v>
      </c>
      <c r="C169" s="2007" t="s">
        <v>1884</v>
      </c>
      <c r="D169" s="1514"/>
    </row>
    <row r="170" spans="1:4" ht="12.75" x14ac:dyDescent="0.2">
      <c r="A170" s="1514"/>
      <c r="B170" s="1527" t="s">
        <v>65</v>
      </c>
      <c r="C170" s="2007" t="s">
        <v>1884</v>
      </c>
      <c r="D170" s="1514"/>
    </row>
    <row r="171" spans="1:4" ht="12.75" x14ac:dyDescent="0.2">
      <c r="A171" s="1514"/>
      <c r="B171" s="1527" t="s">
        <v>2273</v>
      </c>
      <c r="C171" s="2007" t="s">
        <v>1884</v>
      </c>
      <c r="D171" s="1514"/>
    </row>
    <row r="172" spans="1:4" ht="12.75" x14ac:dyDescent="0.2">
      <c r="A172" s="1514"/>
      <c r="B172" s="1527" t="s">
        <v>66</v>
      </c>
      <c r="C172" s="2007" t="s">
        <v>2246</v>
      </c>
      <c r="D172" s="1514"/>
    </row>
    <row r="173" spans="1:4" ht="12.75" x14ac:dyDescent="0.2">
      <c r="A173" s="1514"/>
      <c r="B173" s="1527" t="s">
        <v>67</v>
      </c>
      <c r="C173" s="2007" t="s">
        <v>2246</v>
      </c>
      <c r="D173" s="1514"/>
    </row>
    <row r="174" spans="1:4" ht="12.75" x14ac:dyDescent="0.2">
      <c r="A174" s="1514"/>
      <c r="B174" s="1527" t="s">
        <v>68</v>
      </c>
      <c r="C174" s="2007" t="s">
        <v>2246</v>
      </c>
      <c r="D174" s="1514"/>
    </row>
    <row r="175" spans="1:4" ht="12.75" x14ac:dyDescent="0.2">
      <c r="A175" s="1514"/>
      <c r="B175" s="1527" t="s">
        <v>69</v>
      </c>
      <c r="C175" s="2007" t="s">
        <v>2246</v>
      </c>
      <c r="D175" s="1514"/>
    </row>
    <row r="176" spans="1:4" ht="12.75" x14ac:dyDescent="0.2">
      <c r="A176" s="1514"/>
      <c r="B176" s="1527" t="s">
        <v>70</v>
      </c>
      <c r="C176" s="2007" t="s">
        <v>2246</v>
      </c>
      <c r="D176" s="1514"/>
    </row>
    <row r="177" spans="1:4" ht="12.75" x14ac:dyDescent="0.2">
      <c r="A177" s="1514"/>
      <c r="B177" s="1527" t="s">
        <v>1152</v>
      </c>
      <c r="C177" s="2007" t="s">
        <v>2246</v>
      </c>
      <c r="D177" s="1514"/>
    </row>
    <row r="178" spans="1:4" ht="12.75" x14ac:dyDescent="0.2">
      <c r="A178" s="1514"/>
      <c r="B178" s="1527" t="s">
        <v>71</v>
      </c>
      <c r="C178" s="2007" t="s">
        <v>2246</v>
      </c>
      <c r="D178" s="1514"/>
    </row>
    <row r="179" spans="1:4" ht="12.75" x14ac:dyDescent="0.2">
      <c r="A179" s="1514"/>
      <c r="B179" s="1527" t="s">
        <v>72</v>
      </c>
      <c r="C179" s="2007" t="s">
        <v>2246</v>
      </c>
      <c r="D179" s="1514"/>
    </row>
    <row r="180" spans="1:4" ht="12.75" x14ac:dyDescent="0.2">
      <c r="A180" s="1514"/>
      <c r="B180" s="1527" t="s">
        <v>73</v>
      </c>
      <c r="C180" s="2007" t="s">
        <v>2246</v>
      </c>
      <c r="D180" s="1514"/>
    </row>
    <row r="181" spans="1:4" ht="12.75" x14ac:dyDescent="0.2">
      <c r="A181" s="1514"/>
      <c r="B181" s="1527" t="s">
        <v>74</v>
      </c>
      <c r="C181" s="2007" t="s">
        <v>2246</v>
      </c>
      <c r="D181" s="1514"/>
    </row>
    <row r="182" spans="1:4" ht="12.75" x14ac:dyDescent="0.2">
      <c r="A182" s="1514"/>
      <c r="B182" s="1527" t="s">
        <v>1155</v>
      </c>
      <c r="C182" s="2007" t="s">
        <v>2246</v>
      </c>
      <c r="D182" s="1514"/>
    </row>
    <row r="183" spans="1:4" ht="12.75" x14ac:dyDescent="0.2">
      <c r="A183" s="1514"/>
      <c r="B183" s="1527" t="s">
        <v>75</v>
      </c>
      <c r="C183" s="2007" t="s">
        <v>2246</v>
      </c>
      <c r="D183" s="1514"/>
    </row>
    <row r="184" spans="1:4" ht="12.75" x14ac:dyDescent="0.2">
      <c r="A184" s="1514"/>
      <c r="B184" s="1527" t="s">
        <v>76</v>
      </c>
      <c r="C184" s="2007" t="s">
        <v>2246</v>
      </c>
      <c r="D184" s="1514"/>
    </row>
    <row r="185" spans="1:4" ht="12.75" x14ac:dyDescent="0.2">
      <c r="A185" s="1514"/>
      <c r="B185" s="1527" t="s">
        <v>77</v>
      </c>
      <c r="C185" s="2007" t="s">
        <v>2246</v>
      </c>
      <c r="D185" s="1514"/>
    </row>
    <row r="186" spans="1:4" ht="12.75" x14ac:dyDescent="0.2">
      <c r="A186" s="1514"/>
      <c r="B186" s="1527" t="s">
        <v>78</v>
      </c>
      <c r="C186" s="2007" t="s">
        <v>2246</v>
      </c>
      <c r="D186" s="1514"/>
    </row>
    <row r="187" spans="1:4" ht="12.75" x14ac:dyDescent="0.2">
      <c r="A187" s="1514"/>
      <c r="B187" s="1527" t="s">
        <v>79</v>
      </c>
      <c r="C187" s="2007" t="s">
        <v>2246</v>
      </c>
      <c r="D187" s="1514"/>
    </row>
    <row r="188" spans="1:4" ht="12.75" x14ac:dyDescent="0.2">
      <c r="A188" s="1514"/>
      <c r="B188" s="1527" t="s">
        <v>1156</v>
      </c>
      <c r="C188" s="2007" t="s">
        <v>2246</v>
      </c>
      <c r="D188" s="1514"/>
    </row>
    <row r="189" spans="1:4" ht="12.75" x14ac:dyDescent="0.2">
      <c r="A189" s="1514"/>
      <c r="B189" s="1527" t="s">
        <v>80</v>
      </c>
      <c r="C189" s="2007" t="s">
        <v>2246</v>
      </c>
      <c r="D189" s="1514"/>
    </row>
    <row r="190" spans="1:4" ht="12.75" x14ac:dyDescent="0.2">
      <c r="A190" s="1514"/>
      <c r="B190" s="1527" t="s">
        <v>81</v>
      </c>
      <c r="C190" s="2007" t="s">
        <v>2246</v>
      </c>
      <c r="D190" s="1514"/>
    </row>
    <row r="191" spans="1:4" ht="12.75" x14ac:dyDescent="0.2">
      <c r="A191" s="1514"/>
      <c r="B191" s="1527" t="s">
        <v>82</v>
      </c>
      <c r="C191" s="2007" t="s">
        <v>2246</v>
      </c>
      <c r="D191" s="1514"/>
    </row>
    <row r="192" spans="1:4" ht="12.75" x14ac:dyDescent="0.2">
      <c r="A192" s="1514"/>
      <c r="B192" s="1527" t="s">
        <v>83</v>
      </c>
      <c r="C192" s="2007" t="s">
        <v>2246</v>
      </c>
      <c r="D192" s="1514"/>
    </row>
    <row r="193" spans="1:4" ht="12.75" x14ac:dyDescent="0.2">
      <c r="A193" s="1514"/>
      <c r="B193" s="1527" t="s">
        <v>84</v>
      </c>
      <c r="C193" s="2007" t="s">
        <v>2246</v>
      </c>
      <c r="D193" s="1514"/>
    </row>
    <row r="194" spans="1:4" ht="12.75" x14ac:dyDescent="0.2">
      <c r="A194" s="1514"/>
      <c r="B194" s="1527" t="s">
        <v>85</v>
      </c>
      <c r="C194" s="2006" t="s">
        <v>2246</v>
      </c>
      <c r="D194" s="1514"/>
    </row>
    <row r="195" spans="1:4" ht="12.75" x14ac:dyDescent="0.2">
      <c r="A195" s="1514"/>
      <c r="B195" s="1527" t="s">
        <v>1157</v>
      </c>
      <c r="C195" s="2006" t="s">
        <v>2246</v>
      </c>
      <c r="D195" s="1514"/>
    </row>
    <row r="196" spans="1:4" ht="12.75" x14ac:dyDescent="0.2">
      <c r="A196" s="1514"/>
      <c r="B196" s="1527" t="s">
        <v>1892</v>
      </c>
      <c r="C196" s="2006" t="s">
        <v>2246</v>
      </c>
      <c r="D196" s="1514"/>
    </row>
    <row r="197" spans="1:4" ht="12.75" x14ac:dyDescent="0.2">
      <c r="A197" s="1514"/>
      <c r="B197" s="1527" t="s">
        <v>86</v>
      </c>
      <c r="C197" s="2006" t="s">
        <v>2246</v>
      </c>
      <c r="D197" s="1514"/>
    </row>
    <row r="198" spans="1:4" ht="12.75" x14ac:dyDescent="0.2">
      <c r="A198" s="1514"/>
      <c r="B198" s="1527" t="s">
        <v>1893</v>
      </c>
      <c r="C198" s="2006" t="s">
        <v>2246</v>
      </c>
      <c r="D198" s="1514"/>
    </row>
    <row r="199" spans="1:4" ht="12.75" x14ac:dyDescent="0.2">
      <c r="A199" s="1514"/>
      <c r="B199" s="1527" t="s">
        <v>87</v>
      </c>
      <c r="C199" s="2006" t="s">
        <v>2246</v>
      </c>
      <c r="D199" s="1514"/>
    </row>
    <row r="200" spans="1:4" ht="12.75" x14ac:dyDescent="0.2">
      <c r="A200" s="1514"/>
      <c r="B200" s="1527" t="s">
        <v>88</v>
      </c>
      <c r="C200" s="2006" t="s">
        <v>2246</v>
      </c>
      <c r="D200" s="1514"/>
    </row>
    <row r="201" spans="1:4" ht="12.75" x14ac:dyDescent="0.2">
      <c r="A201" s="1514"/>
      <c r="B201" s="1527" t="s">
        <v>1948</v>
      </c>
      <c r="C201" s="2006" t="s">
        <v>2246</v>
      </c>
      <c r="D201" s="1514"/>
    </row>
    <row r="202" spans="1:4" ht="12.75" x14ac:dyDescent="0.2">
      <c r="A202" s="1514"/>
      <c r="B202" s="1527" t="s">
        <v>832</v>
      </c>
      <c r="C202" s="2006" t="s">
        <v>1147</v>
      </c>
      <c r="D202" s="1514"/>
    </row>
    <row r="203" spans="1:4" ht="12.75" x14ac:dyDescent="0.2">
      <c r="A203" s="1514"/>
      <c r="B203" s="1527" t="s">
        <v>833</v>
      </c>
      <c r="C203" s="2006" t="s">
        <v>1147</v>
      </c>
      <c r="D203" s="1514"/>
    </row>
    <row r="204" spans="1:4" ht="12.75" x14ac:dyDescent="0.2">
      <c r="A204" s="1514"/>
      <c r="B204" s="1527" t="s">
        <v>834</v>
      </c>
      <c r="C204" s="2006" t="s">
        <v>1147</v>
      </c>
      <c r="D204" s="1514"/>
    </row>
    <row r="205" spans="1:4" ht="12.75" x14ac:dyDescent="0.2">
      <c r="A205" s="1514"/>
      <c r="B205" s="1527" t="s">
        <v>1894</v>
      </c>
      <c r="C205" s="2006" t="s">
        <v>1147</v>
      </c>
      <c r="D205" s="1514"/>
    </row>
    <row r="206" spans="1:4" ht="12.75" x14ac:dyDescent="0.2">
      <c r="A206" s="1514"/>
      <c r="B206" s="1527" t="s">
        <v>835</v>
      </c>
      <c r="C206" s="2006" t="s">
        <v>1147</v>
      </c>
      <c r="D206" s="1514"/>
    </row>
    <row r="207" spans="1:4" ht="12.75" x14ac:dyDescent="0.2">
      <c r="A207" s="1514"/>
      <c r="B207" s="1527" t="s">
        <v>836</v>
      </c>
      <c r="C207" s="2006" t="s">
        <v>1147</v>
      </c>
      <c r="D207" s="1514"/>
    </row>
    <row r="208" spans="1:4" ht="12.75" x14ac:dyDescent="0.2">
      <c r="A208" s="1514"/>
      <c r="B208" s="1527" t="s">
        <v>837</v>
      </c>
      <c r="C208" s="2006" t="s">
        <v>1147</v>
      </c>
      <c r="D208" s="1514"/>
    </row>
    <row r="209" spans="1:4" ht="12.75" x14ac:dyDescent="0.2">
      <c r="A209" s="1514"/>
      <c r="B209" s="1527" t="s">
        <v>1146</v>
      </c>
      <c r="C209" s="2006" t="s">
        <v>1147</v>
      </c>
      <c r="D209" s="1514"/>
    </row>
    <row r="210" spans="1:4" ht="12.75" x14ac:dyDescent="0.2">
      <c r="A210" s="1514"/>
      <c r="B210" s="1527" t="s">
        <v>1895</v>
      </c>
      <c r="C210" s="2006" t="s">
        <v>1147</v>
      </c>
      <c r="D210" s="1514"/>
    </row>
    <row r="211" spans="1:4" ht="12.75" x14ac:dyDescent="0.2">
      <c r="A211" s="1514"/>
      <c r="B211" s="1527" t="s">
        <v>1954</v>
      </c>
      <c r="C211" s="2006" t="s">
        <v>1147</v>
      </c>
      <c r="D211" s="1514"/>
    </row>
    <row r="212" spans="1:4" ht="12.75" x14ac:dyDescent="0.2">
      <c r="A212" s="1514"/>
      <c r="B212" s="1527" t="s">
        <v>838</v>
      </c>
      <c r="C212" s="2006" t="s">
        <v>1147</v>
      </c>
      <c r="D212" s="1514"/>
    </row>
    <row r="213" spans="1:4" ht="12.75" x14ac:dyDescent="0.2">
      <c r="A213" s="1514"/>
      <c r="B213" s="1527" t="s">
        <v>839</v>
      </c>
      <c r="C213" s="2006" t="s">
        <v>1147</v>
      </c>
      <c r="D213" s="1514"/>
    </row>
    <row r="214" spans="1:4" ht="12.75" x14ac:dyDescent="0.2">
      <c r="A214" s="1514"/>
      <c r="B214" s="1527" t="s">
        <v>1955</v>
      </c>
      <c r="C214" s="2006" t="s">
        <v>1147</v>
      </c>
      <c r="D214" s="1514"/>
    </row>
    <row r="215" spans="1:4" ht="12.75" x14ac:dyDescent="0.2">
      <c r="A215" s="1514"/>
      <c r="B215" s="1527" t="s">
        <v>89</v>
      </c>
      <c r="C215" s="2006" t="s">
        <v>1147</v>
      </c>
      <c r="D215" s="1514"/>
    </row>
    <row r="216" spans="1:4" ht="12.75" x14ac:dyDescent="0.2">
      <c r="A216" s="1514"/>
      <c r="B216" s="1527" t="s">
        <v>1149</v>
      </c>
      <c r="C216" s="2006" t="s">
        <v>1147</v>
      </c>
      <c r="D216" s="1514"/>
    </row>
    <row r="217" spans="1:4" ht="12.75" x14ac:dyDescent="0.2">
      <c r="A217" s="1514"/>
      <c r="B217" s="1527" t="s">
        <v>840</v>
      </c>
      <c r="C217" s="2006" t="s">
        <v>1147</v>
      </c>
      <c r="D217" s="1514"/>
    </row>
    <row r="218" spans="1:4" ht="12.75" x14ac:dyDescent="0.2">
      <c r="A218" s="1514"/>
      <c r="B218" s="1527" t="s">
        <v>841</v>
      </c>
      <c r="C218" s="2006" t="s">
        <v>1147</v>
      </c>
      <c r="D218" s="1514"/>
    </row>
    <row r="219" spans="1:4" ht="12.75" x14ac:dyDescent="0.2">
      <c r="A219" s="1514"/>
      <c r="B219" s="1527" t="s">
        <v>842</v>
      </c>
      <c r="C219" s="2006" t="s">
        <v>1147</v>
      </c>
      <c r="D219" s="1514"/>
    </row>
    <row r="220" spans="1:4" ht="12.75" x14ac:dyDescent="0.2">
      <c r="A220" s="1514"/>
      <c r="B220" s="1527" t="s">
        <v>843</v>
      </c>
      <c r="C220" s="2006" t="s">
        <v>1147</v>
      </c>
      <c r="D220" s="1514"/>
    </row>
    <row r="221" spans="1:4" ht="12.75" x14ac:dyDescent="0.2">
      <c r="A221" s="1514"/>
      <c r="B221" s="1527" t="s">
        <v>844</v>
      </c>
      <c r="C221" s="2006" t="s">
        <v>1147</v>
      </c>
      <c r="D221" s="1514"/>
    </row>
    <row r="222" spans="1:4" ht="12.75" x14ac:dyDescent="0.2">
      <c r="A222" s="1514"/>
      <c r="B222" s="1527" t="s">
        <v>1150</v>
      </c>
      <c r="C222" s="2006" t="s">
        <v>1147</v>
      </c>
      <c r="D222" s="1514"/>
    </row>
    <row r="223" spans="1:4" ht="12.75" x14ac:dyDescent="0.2">
      <c r="A223" s="1514"/>
      <c r="B223" s="1527" t="s">
        <v>259</v>
      </c>
      <c r="C223" s="2006" t="s">
        <v>1159</v>
      </c>
      <c r="D223" s="1514"/>
    </row>
    <row r="224" spans="1:4" ht="12.75" x14ac:dyDescent="0.2">
      <c r="A224" s="1514"/>
      <c r="B224" s="1527" t="s">
        <v>260</v>
      </c>
      <c r="C224" s="2006" t="s">
        <v>1159</v>
      </c>
      <c r="D224" s="1514"/>
    </row>
    <row r="225" spans="1:4" ht="12.75" x14ac:dyDescent="0.2">
      <c r="A225" s="1514"/>
      <c r="B225" s="1527" t="s">
        <v>261</v>
      </c>
      <c r="C225" s="2006" t="s">
        <v>1159</v>
      </c>
      <c r="D225" s="1514"/>
    </row>
    <row r="226" spans="1:4" ht="12.75" x14ac:dyDescent="0.2">
      <c r="A226" s="1514"/>
      <c r="B226" s="1527" t="s">
        <v>262</v>
      </c>
      <c r="C226" s="2006" t="s">
        <v>1159</v>
      </c>
      <c r="D226" s="1514"/>
    </row>
    <row r="227" spans="1:4" ht="12.75" x14ac:dyDescent="0.2">
      <c r="A227" s="1514"/>
      <c r="B227" s="1527" t="s">
        <v>205</v>
      </c>
      <c r="C227" s="2006" t="s">
        <v>1159</v>
      </c>
      <c r="D227" s="1514"/>
    </row>
    <row r="228" spans="1:4" ht="12.75" x14ac:dyDescent="0.2">
      <c r="A228" s="1514"/>
      <c r="B228" s="1527" t="s">
        <v>1158</v>
      </c>
      <c r="C228" s="2006" t="s">
        <v>1159</v>
      </c>
      <c r="D228" s="1514"/>
    </row>
    <row r="229" spans="1:4" ht="12.75" x14ac:dyDescent="0.2">
      <c r="A229" s="1514"/>
      <c r="B229" s="1527" t="s">
        <v>206</v>
      </c>
      <c r="C229" s="2006" t="s">
        <v>1159</v>
      </c>
      <c r="D229" s="1514"/>
    </row>
    <row r="230" spans="1:4" ht="12.75" x14ac:dyDescent="0.2">
      <c r="A230" s="1514"/>
      <c r="B230" s="1527" t="s">
        <v>207</v>
      </c>
      <c r="C230" s="2006" t="s">
        <v>1159</v>
      </c>
      <c r="D230" s="1514"/>
    </row>
    <row r="231" spans="1:4" ht="12.75" x14ac:dyDescent="0.2">
      <c r="A231" s="1514"/>
      <c r="B231" s="1527" t="s">
        <v>208</v>
      </c>
      <c r="C231" s="2006" t="s">
        <v>1159</v>
      </c>
      <c r="D231" s="1514"/>
    </row>
    <row r="232" spans="1:4" ht="12.75" x14ac:dyDescent="0.2">
      <c r="A232" s="1514"/>
      <c r="B232" s="1527" t="s">
        <v>209</v>
      </c>
      <c r="C232" s="2006" t="s">
        <v>1159</v>
      </c>
      <c r="D232" s="1514"/>
    </row>
    <row r="233" spans="1:4" ht="12.75" x14ac:dyDescent="0.2">
      <c r="A233" s="1514"/>
      <c r="B233" s="1527" t="s">
        <v>210</v>
      </c>
      <c r="C233" s="2006" t="s">
        <v>1159</v>
      </c>
      <c r="D233" s="1514"/>
    </row>
    <row r="234" spans="1:4" ht="12.75" x14ac:dyDescent="0.2">
      <c r="A234" s="1514"/>
      <c r="B234" s="1527" t="s">
        <v>1160</v>
      </c>
      <c r="C234" s="2006" t="s">
        <v>1159</v>
      </c>
      <c r="D234" s="1514"/>
    </row>
    <row r="235" spans="1:4" ht="12.75" x14ac:dyDescent="0.2">
      <c r="A235" s="1514"/>
      <c r="B235" s="1527" t="s">
        <v>211</v>
      </c>
      <c r="C235" s="2006" t="s">
        <v>1159</v>
      </c>
      <c r="D235" s="1514"/>
    </row>
    <row r="236" spans="1:4" ht="12.75" x14ac:dyDescent="0.2">
      <c r="A236" s="1514"/>
      <c r="B236" s="1527" t="s">
        <v>212</v>
      </c>
      <c r="C236" s="2006" t="s">
        <v>1159</v>
      </c>
      <c r="D236" s="1514"/>
    </row>
    <row r="237" spans="1:4" ht="12.75" x14ac:dyDescent="0.2">
      <c r="A237" s="1514"/>
      <c r="B237" s="1527" t="s">
        <v>213</v>
      </c>
      <c r="C237" s="2006" t="s">
        <v>1159</v>
      </c>
      <c r="D237" s="1514"/>
    </row>
    <row r="238" spans="1:4" ht="12.75" x14ac:dyDescent="0.2">
      <c r="A238" s="1514"/>
      <c r="B238" s="1527" t="s">
        <v>214</v>
      </c>
      <c r="C238" s="2006" t="s">
        <v>1159</v>
      </c>
      <c r="D238" s="1514"/>
    </row>
    <row r="239" spans="1:4" ht="12.75" x14ac:dyDescent="0.2">
      <c r="A239" s="1514"/>
      <c r="B239" s="1527" t="s">
        <v>1956</v>
      </c>
      <c r="C239" s="2006" t="s">
        <v>1159</v>
      </c>
      <c r="D239" s="1514"/>
    </row>
    <row r="240" spans="1:4" ht="12.75" x14ac:dyDescent="0.2">
      <c r="A240" s="1514"/>
      <c r="B240" s="1527" t="s">
        <v>1749</v>
      </c>
      <c r="C240" s="2006" t="s">
        <v>1159</v>
      </c>
      <c r="D240" s="1514"/>
    </row>
    <row r="241" spans="1:4" ht="12.75" x14ac:dyDescent="0.2">
      <c r="A241" s="1514"/>
      <c r="B241" s="1527" t="s">
        <v>215</v>
      </c>
      <c r="C241" s="2006" t="s">
        <v>1159</v>
      </c>
      <c r="D241" s="1514"/>
    </row>
    <row r="242" spans="1:4" ht="12.75" x14ac:dyDescent="0.2">
      <c r="A242" s="1514"/>
      <c r="B242" s="1527" t="s">
        <v>216</v>
      </c>
      <c r="C242" s="2006" t="s">
        <v>1159</v>
      </c>
      <c r="D242" s="1514"/>
    </row>
    <row r="243" spans="1:4" ht="12.75" x14ac:dyDescent="0.2">
      <c r="A243" s="1514"/>
      <c r="B243" s="1527" t="s">
        <v>90</v>
      </c>
      <c r="C243" s="2006" t="s">
        <v>1159</v>
      </c>
      <c r="D243" s="1514"/>
    </row>
    <row r="244" spans="1:4" ht="12.75" x14ac:dyDescent="0.2">
      <c r="A244" s="1514"/>
      <c r="B244" s="1527" t="s">
        <v>217</v>
      </c>
      <c r="C244" s="2006" t="s">
        <v>1159</v>
      </c>
      <c r="D244" s="1514"/>
    </row>
    <row r="245" spans="1:4" ht="12.75" x14ac:dyDescent="0.2">
      <c r="A245" s="1514"/>
      <c r="B245" s="1527" t="s">
        <v>1750</v>
      </c>
      <c r="C245" s="2006" t="s">
        <v>1159</v>
      </c>
      <c r="D245" s="1514"/>
    </row>
    <row r="246" spans="1:4" ht="12.75" x14ac:dyDescent="0.2">
      <c r="A246" s="1514"/>
      <c r="B246" s="1527" t="s">
        <v>1896</v>
      </c>
      <c r="C246" s="2006" t="s">
        <v>1175</v>
      </c>
      <c r="D246" s="1514"/>
    </row>
    <row r="247" spans="1:4" ht="12.75" x14ac:dyDescent="0.2">
      <c r="A247" s="1514"/>
      <c r="B247" s="1527" t="s">
        <v>257</v>
      </c>
      <c r="C247" s="2006" t="s">
        <v>1175</v>
      </c>
      <c r="D247" s="1514"/>
    </row>
    <row r="248" spans="1:4" ht="12.75" x14ac:dyDescent="0.2">
      <c r="A248" s="1514"/>
      <c r="B248" s="1527" t="s">
        <v>258</v>
      </c>
      <c r="C248" s="2006" t="s">
        <v>1175</v>
      </c>
      <c r="D248" s="1514"/>
    </row>
    <row r="249" spans="1:4" ht="12.75" x14ac:dyDescent="0.2">
      <c r="A249" s="1514"/>
      <c r="B249" s="1527" t="s">
        <v>1885</v>
      </c>
      <c r="C249" s="2006" t="s">
        <v>1175</v>
      </c>
      <c r="D249" s="1514"/>
    </row>
    <row r="250" spans="1:4" ht="12.75" x14ac:dyDescent="0.2">
      <c r="A250" s="1514"/>
      <c r="B250" s="1527" t="s">
        <v>845</v>
      </c>
      <c r="C250" s="2006" t="s">
        <v>1175</v>
      </c>
      <c r="D250" s="1514"/>
    </row>
    <row r="251" spans="1:4" ht="12.75" x14ac:dyDescent="0.2">
      <c r="A251" s="1514"/>
      <c r="B251" s="1527" t="s">
        <v>846</v>
      </c>
      <c r="C251" s="2006" t="s">
        <v>1175</v>
      </c>
      <c r="D251" s="1514"/>
    </row>
    <row r="252" spans="1:4" ht="12.75" x14ac:dyDescent="0.2">
      <c r="A252" s="1514"/>
      <c r="B252" s="1527" t="s">
        <v>847</v>
      </c>
      <c r="C252" s="2006" t="s">
        <v>1175</v>
      </c>
      <c r="D252" s="1514"/>
    </row>
    <row r="253" spans="1:4" ht="12.75" x14ac:dyDescent="0.2">
      <c r="A253" s="1514"/>
      <c r="B253" s="1527" t="s">
        <v>848</v>
      </c>
      <c r="C253" s="2006" t="s">
        <v>1175</v>
      </c>
      <c r="D253" s="1514"/>
    </row>
    <row r="254" spans="1:4" ht="12.75" x14ac:dyDescent="0.2">
      <c r="A254" s="1514"/>
      <c r="B254" s="1527" t="s">
        <v>849</v>
      </c>
      <c r="C254" s="2006" t="s">
        <v>1175</v>
      </c>
      <c r="D254" s="1514"/>
    </row>
    <row r="255" spans="1:4" ht="12.75" x14ac:dyDescent="0.2">
      <c r="A255" s="1514"/>
      <c r="B255" s="1527" t="s">
        <v>850</v>
      </c>
      <c r="C255" s="2006" t="s">
        <v>1175</v>
      </c>
      <c r="D255" s="1514"/>
    </row>
    <row r="256" spans="1:4" ht="12.75" x14ac:dyDescent="0.2">
      <c r="A256" s="1514"/>
      <c r="B256" s="1527" t="s">
        <v>1174</v>
      </c>
      <c r="C256" s="2006" t="s">
        <v>1175</v>
      </c>
      <c r="D256" s="1514"/>
    </row>
    <row r="257" spans="1:4" ht="12.75" x14ac:dyDescent="0.2">
      <c r="A257" s="1514"/>
      <c r="B257" s="1527" t="s">
        <v>1261</v>
      </c>
      <c r="C257" s="2006" t="s">
        <v>1175</v>
      </c>
      <c r="D257" s="1514"/>
    </row>
    <row r="258" spans="1:4" ht="12.75" x14ac:dyDescent="0.2">
      <c r="A258" s="1514"/>
      <c r="B258" s="1527" t="s">
        <v>1262</v>
      </c>
      <c r="C258" s="2006" t="s">
        <v>1175</v>
      </c>
      <c r="D258" s="1514"/>
    </row>
    <row r="259" spans="1:4" ht="12.75" x14ac:dyDescent="0.2">
      <c r="A259" s="1514"/>
      <c r="B259" s="1527" t="s">
        <v>1263</v>
      </c>
      <c r="C259" s="2006" t="s">
        <v>1175</v>
      </c>
      <c r="D259" s="1514"/>
    </row>
    <row r="260" spans="1:4" ht="12.75" x14ac:dyDescent="0.2">
      <c r="A260" s="1514"/>
      <c r="B260" s="1527" t="s">
        <v>1264</v>
      </c>
      <c r="C260" s="2006" t="s">
        <v>1175</v>
      </c>
      <c r="D260" s="1514"/>
    </row>
    <row r="261" spans="1:4" ht="12.75" x14ac:dyDescent="0.2">
      <c r="A261" s="1514"/>
      <c r="B261" s="1527" t="s">
        <v>1265</v>
      </c>
      <c r="C261" s="2006" t="s">
        <v>1175</v>
      </c>
      <c r="D261" s="1514"/>
    </row>
    <row r="262" spans="1:4" ht="12.75" x14ac:dyDescent="0.2">
      <c r="A262" s="1514"/>
      <c r="B262" s="1527" t="s">
        <v>1266</v>
      </c>
      <c r="C262" s="2006" t="s">
        <v>1175</v>
      </c>
      <c r="D262" s="1514"/>
    </row>
    <row r="263" spans="1:4" ht="12.75" x14ac:dyDescent="0.2">
      <c r="A263" s="1514"/>
      <c r="B263" s="1527" t="s">
        <v>245</v>
      </c>
      <c r="C263" s="2006" t="s">
        <v>1175</v>
      </c>
      <c r="D263" s="1514"/>
    </row>
    <row r="264" spans="1:4" ht="12.75" x14ac:dyDescent="0.2">
      <c r="A264" s="1514"/>
      <c r="B264" s="1527" t="s">
        <v>246</v>
      </c>
      <c r="C264" s="2006" t="s">
        <v>1175</v>
      </c>
      <c r="D264" s="1514"/>
    </row>
    <row r="265" spans="1:4" ht="12.75" x14ac:dyDescent="0.2">
      <c r="A265" s="1514"/>
      <c r="B265" s="1527" t="s">
        <v>1949</v>
      </c>
      <c r="C265" s="2006" t="s">
        <v>1175</v>
      </c>
      <c r="D265" s="1514"/>
    </row>
    <row r="266" spans="1:4" ht="12.75" x14ac:dyDescent="0.2">
      <c r="A266" s="1514"/>
      <c r="B266" s="1527" t="s">
        <v>247</v>
      </c>
      <c r="C266" s="2006" t="s">
        <v>1175</v>
      </c>
      <c r="D266" s="1514"/>
    </row>
    <row r="267" spans="1:4" ht="12.75" x14ac:dyDescent="0.2">
      <c r="A267" s="1514"/>
      <c r="B267" s="1527" t="s">
        <v>248</v>
      </c>
      <c r="C267" s="2006" t="s">
        <v>1175</v>
      </c>
      <c r="D267" s="1514"/>
    </row>
    <row r="268" spans="1:4" ht="12.75" x14ac:dyDescent="0.2">
      <c r="A268" s="1514"/>
      <c r="B268" s="1527" t="s">
        <v>249</v>
      </c>
      <c r="C268" s="2006" t="s">
        <v>1175</v>
      </c>
      <c r="D268" s="1514"/>
    </row>
    <row r="269" spans="1:4" ht="12.75" x14ac:dyDescent="0.2">
      <c r="A269" s="1514"/>
      <c r="B269" s="1527" t="s">
        <v>250</v>
      </c>
      <c r="C269" s="2006" t="s">
        <v>1175</v>
      </c>
      <c r="D269" s="1514"/>
    </row>
    <row r="270" spans="1:4" ht="12.75" x14ac:dyDescent="0.2">
      <c r="A270" s="1514"/>
      <c r="B270" s="1527" t="s">
        <v>251</v>
      </c>
      <c r="C270" s="2006" t="s">
        <v>1175</v>
      </c>
      <c r="D270" s="1514"/>
    </row>
    <row r="271" spans="1:4" ht="12.75" x14ac:dyDescent="0.2">
      <c r="A271" s="1514"/>
      <c r="B271" s="1527" t="s">
        <v>252</v>
      </c>
      <c r="C271" s="2006" t="s">
        <v>1175</v>
      </c>
      <c r="D271" s="1514"/>
    </row>
    <row r="272" spans="1:4" ht="12.75" x14ac:dyDescent="0.2">
      <c r="A272" s="1514"/>
      <c r="B272" s="1527" t="s">
        <v>1176</v>
      </c>
      <c r="C272" s="2006" t="s">
        <v>1175</v>
      </c>
      <c r="D272" s="1514"/>
    </row>
    <row r="273" spans="1:4" ht="12.75" x14ac:dyDescent="0.2">
      <c r="A273" s="1514"/>
      <c r="B273" s="1527" t="s">
        <v>253</v>
      </c>
      <c r="C273" s="2006" t="s">
        <v>1175</v>
      </c>
      <c r="D273" s="1514"/>
    </row>
    <row r="274" spans="1:4" ht="12.75" x14ac:dyDescent="0.2">
      <c r="A274" s="1514"/>
      <c r="B274" s="1527" t="s">
        <v>254</v>
      </c>
      <c r="C274" s="2006" t="s">
        <v>1175</v>
      </c>
      <c r="D274" s="1514"/>
    </row>
    <row r="275" spans="1:4" ht="12.75" x14ac:dyDescent="0.2">
      <c r="A275" s="1514"/>
      <c r="B275" s="1527" t="s">
        <v>255</v>
      </c>
      <c r="C275" s="2006" t="s">
        <v>1175</v>
      </c>
      <c r="D275" s="1514"/>
    </row>
    <row r="276" spans="1:4" ht="12.75" x14ac:dyDescent="0.2">
      <c r="A276" s="1514"/>
      <c r="B276" s="1527" t="s">
        <v>256</v>
      </c>
      <c r="C276" s="2006" t="s">
        <v>1175</v>
      </c>
      <c r="D276" s="1514"/>
    </row>
    <row r="277" spans="1:4" ht="12.75" x14ac:dyDescent="0.2">
      <c r="A277" s="1514"/>
      <c r="B277" s="1527" t="s">
        <v>1177</v>
      </c>
      <c r="C277" s="2006" t="s">
        <v>1175</v>
      </c>
      <c r="D277" s="1514"/>
    </row>
    <row r="278" spans="1:4" ht="12.75" x14ac:dyDescent="0.2">
      <c r="A278" s="1514"/>
      <c r="B278" s="1527" t="s">
        <v>2247</v>
      </c>
      <c r="C278" s="2006" t="s">
        <v>1025</v>
      </c>
      <c r="D278" s="1514"/>
    </row>
    <row r="279" spans="1:4" ht="12.75" x14ac:dyDescent="0.2">
      <c r="A279" s="1514"/>
      <c r="B279" s="1527" t="s">
        <v>218</v>
      </c>
      <c r="C279" s="2006" t="s">
        <v>1025</v>
      </c>
      <c r="D279" s="1514"/>
    </row>
    <row r="280" spans="1:4" ht="12.75" x14ac:dyDescent="0.2">
      <c r="A280" s="1514"/>
      <c r="B280" s="1527" t="s">
        <v>219</v>
      </c>
      <c r="C280" s="2006" t="s">
        <v>1025</v>
      </c>
      <c r="D280" s="1514"/>
    </row>
    <row r="281" spans="1:4" ht="12.75" x14ac:dyDescent="0.2">
      <c r="A281" s="1514"/>
      <c r="B281" s="1527" t="s">
        <v>220</v>
      </c>
      <c r="C281" s="2006" t="s">
        <v>1025</v>
      </c>
      <c r="D281" s="1514"/>
    </row>
    <row r="282" spans="1:4" ht="12.75" x14ac:dyDescent="0.2">
      <c r="A282" s="1514"/>
      <c r="B282" s="1527" t="s">
        <v>221</v>
      </c>
      <c r="C282" s="2006" t="s">
        <v>1025</v>
      </c>
      <c r="D282" s="1514"/>
    </row>
    <row r="283" spans="1:4" ht="12.75" x14ac:dyDescent="0.2">
      <c r="A283" s="1514"/>
      <c r="B283" s="1527" t="s">
        <v>222</v>
      </c>
      <c r="C283" s="2006" t="s">
        <v>1025</v>
      </c>
      <c r="D283" s="1514"/>
    </row>
    <row r="284" spans="1:4" ht="12.75" x14ac:dyDescent="0.2">
      <c r="A284" s="1514"/>
      <c r="B284" s="1527" t="s">
        <v>1024</v>
      </c>
      <c r="C284" s="2006" t="s">
        <v>1025</v>
      </c>
      <c r="D284" s="1514"/>
    </row>
    <row r="285" spans="1:4" ht="12.75" x14ac:dyDescent="0.2">
      <c r="A285" s="1514"/>
      <c r="B285" s="1527" t="s">
        <v>223</v>
      </c>
      <c r="C285" s="2006" t="s">
        <v>1025</v>
      </c>
      <c r="D285" s="1514"/>
    </row>
    <row r="286" spans="1:4" ht="12.75" x14ac:dyDescent="0.2">
      <c r="A286" s="1514"/>
      <c r="B286" s="1527" t="s">
        <v>224</v>
      </c>
      <c r="C286" s="2006" t="s">
        <v>1025</v>
      </c>
      <c r="D286" s="1514"/>
    </row>
    <row r="287" spans="1:4" ht="12.75" x14ac:dyDescent="0.2">
      <c r="A287" s="1514"/>
      <c r="B287" s="1527" t="s">
        <v>225</v>
      </c>
      <c r="C287" s="2006" t="s">
        <v>1025</v>
      </c>
      <c r="D287" s="1514"/>
    </row>
    <row r="288" spans="1:4" ht="12.75" x14ac:dyDescent="0.2">
      <c r="A288" s="1514"/>
      <c r="B288" s="1527" t="s">
        <v>226</v>
      </c>
      <c r="C288" s="2006" t="s">
        <v>1025</v>
      </c>
      <c r="D288" s="1514"/>
    </row>
    <row r="289" spans="1:4" ht="12.75" x14ac:dyDescent="0.2">
      <c r="A289" s="1514"/>
      <c r="B289" s="1527" t="s">
        <v>1897</v>
      </c>
      <c r="C289" s="2006" t="s">
        <v>1025</v>
      </c>
      <c r="D289" s="1514"/>
    </row>
    <row r="290" spans="1:4" ht="12.75" x14ac:dyDescent="0.2">
      <c r="A290" s="1514"/>
      <c r="B290" s="1527" t="s">
        <v>1947</v>
      </c>
      <c r="C290" s="2006" t="s">
        <v>1025</v>
      </c>
      <c r="D290" s="1514"/>
    </row>
    <row r="291" spans="1:4" ht="12.75" x14ac:dyDescent="0.2">
      <c r="A291" s="1514"/>
      <c r="B291" s="1527" t="s">
        <v>227</v>
      </c>
      <c r="C291" s="2006" t="s">
        <v>1025</v>
      </c>
      <c r="D291" s="1514"/>
    </row>
    <row r="292" spans="1:4" ht="12.75" x14ac:dyDescent="0.2">
      <c r="A292" s="1514"/>
      <c r="B292" s="1527" t="s">
        <v>228</v>
      </c>
      <c r="C292" s="2006" t="s">
        <v>1025</v>
      </c>
      <c r="D292" s="1514"/>
    </row>
    <row r="293" spans="1:4" ht="12.75" x14ac:dyDescent="0.2">
      <c r="A293" s="1514"/>
      <c r="B293" s="1527" t="s">
        <v>229</v>
      </c>
      <c r="C293" s="2006" t="s">
        <v>1025</v>
      </c>
      <c r="D293" s="1514"/>
    </row>
    <row r="294" spans="1:4" ht="12.75" x14ac:dyDescent="0.2">
      <c r="A294" s="1514"/>
      <c r="B294" s="1527" t="s">
        <v>230</v>
      </c>
      <c r="C294" s="2006" t="s">
        <v>1025</v>
      </c>
      <c r="D294" s="1514"/>
    </row>
    <row r="295" spans="1:4" ht="12.75" x14ac:dyDescent="0.2">
      <c r="A295" s="1514"/>
      <c r="B295" s="1527" t="s">
        <v>1145</v>
      </c>
      <c r="C295" s="2006" t="s">
        <v>1025</v>
      </c>
      <c r="D295" s="1514"/>
    </row>
    <row r="296" spans="1:4" ht="12.75" x14ac:dyDescent="0.2">
      <c r="A296" s="1514"/>
      <c r="B296" s="1527" t="s">
        <v>231</v>
      </c>
      <c r="C296" s="2006" t="s">
        <v>1025</v>
      </c>
      <c r="D296" s="1514"/>
    </row>
    <row r="297" spans="1:4" ht="12.75" x14ac:dyDescent="0.2">
      <c r="A297" s="1514"/>
      <c r="B297" s="1527" t="s">
        <v>232</v>
      </c>
      <c r="C297" s="2006" t="s">
        <v>1025</v>
      </c>
      <c r="D297" s="1514"/>
    </row>
    <row r="298" spans="1:4" ht="12.75" x14ac:dyDescent="0.2">
      <c r="A298" s="1514"/>
      <c r="B298" s="1527" t="s">
        <v>233</v>
      </c>
      <c r="C298" s="2006" t="s">
        <v>1025</v>
      </c>
      <c r="D298" s="1514"/>
    </row>
    <row r="299" spans="1:4" ht="12.75" x14ac:dyDescent="0.2">
      <c r="A299" s="1514"/>
      <c r="B299" s="1527" t="s">
        <v>234</v>
      </c>
      <c r="C299" s="2006" t="s">
        <v>1025</v>
      </c>
      <c r="D299" s="1514"/>
    </row>
    <row r="300" spans="1:4" ht="12.75" x14ac:dyDescent="0.2">
      <c r="A300" s="1514"/>
      <c r="B300" s="1527" t="s">
        <v>235</v>
      </c>
      <c r="C300" s="2006" t="s">
        <v>1025</v>
      </c>
      <c r="D300" s="1514"/>
    </row>
    <row r="301" spans="1:4" ht="12.75" x14ac:dyDescent="0.2">
      <c r="A301" s="1514"/>
      <c r="B301" s="1527" t="s">
        <v>236</v>
      </c>
      <c r="C301" s="2006" t="s">
        <v>1025</v>
      </c>
      <c r="D301" s="1514"/>
    </row>
    <row r="302" spans="1:4" ht="12.75" x14ac:dyDescent="0.2">
      <c r="A302" s="1514"/>
      <c r="B302" s="1527" t="s">
        <v>237</v>
      </c>
      <c r="C302" s="2006" t="s">
        <v>1025</v>
      </c>
      <c r="D302" s="1514"/>
    </row>
    <row r="303" spans="1:4" ht="12.75" x14ac:dyDescent="0.2">
      <c r="A303" s="1514"/>
      <c r="B303" s="1527" t="s">
        <v>1163</v>
      </c>
      <c r="C303" s="2006" t="s">
        <v>1025</v>
      </c>
      <c r="D303" s="1514"/>
    </row>
    <row r="304" spans="1:4" ht="12.75" x14ac:dyDescent="0.2">
      <c r="A304" s="1514"/>
      <c r="B304" s="1527" t="s">
        <v>238</v>
      </c>
      <c r="C304" s="2006" t="s">
        <v>1025</v>
      </c>
      <c r="D304" s="1514"/>
    </row>
    <row r="305" spans="1:4" ht="12.75" x14ac:dyDescent="0.2">
      <c r="A305" s="1514"/>
      <c r="B305" s="1527" t="s">
        <v>239</v>
      </c>
      <c r="C305" s="2006" t="s">
        <v>1025</v>
      </c>
      <c r="D305" s="1514"/>
    </row>
    <row r="306" spans="1:4" ht="12.75" x14ac:dyDescent="0.2">
      <c r="A306" s="1514"/>
      <c r="B306" s="1527" t="s">
        <v>240</v>
      </c>
      <c r="C306" s="2006" t="s">
        <v>1025</v>
      </c>
      <c r="D306" s="1514"/>
    </row>
    <row r="307" spans="1:4" ht="12.75" x14ac:dyDescent="0.2">
      <c r="A307" s="1514"/>
      <c r="B307" s="1527" t="s">
        <v>1173</v>
      </c>
      <c r="C307" s="2006" t="s">
        <v>1025</v>
      </c>
      <c r="D307" s="1514"/>
    </row>
    <row r="308" spans="1:4" x14ac:dyDescent="0.2">
      <c r="B308" s="2">
        <f>COUNTA(B30:B307)</f>
        <v>278</v>
      </c>
    </row>
  </sheetData>
  <customSheetViews>
    <customSheetView guid="{F50C5479-5CC4-4FD7-8319-543D29E829F0}" state="veryHidden">
      <pane xSplit="1" ySplit="1" topLeftCell="M2" activePane="bottomRight" state="frozen"/>
      <selection pane="bottomRight" activeCell="Q2" sqref="Q2"/>
      <pageMargins left="0.75" right="0.75" top="1" bottom="1" header="0.5" footer="0.5"/>
      <pageSetup paperSize="9" orientation="portrait" r:id="rId1"/>
      <headerFooter alignWithMargins="0"/>
    </customSheetView>
  </customSheetViews>
  <phoneticPr fontId="2" type="noConversion"/>
  <pageMargins left="0.75" right="0.75" top="1" bottom="1" header="0.5" footer="0.5"/>
  <pageSetup paperSize="9" orientation="portrait"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42"/>
    <pageSetUpPr fitToPage="1"/>
  </sheetPr>
  <dimension ref="A1:O80"/>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E36" sqref="E36"/>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x14ac:dyDescent="0.25">
      <c r="A1" s="147" t="str">
        <f>muni&amp;" - "&amp; TableA19</f>
        <v>MP315 Thembisile Hani - Supporting Table SA19 Expenditure on transfers and grant programme</v>
      </c>
      <c r="B1" s="147"/>
      <c r="C1" s="147"/>
      <c r="D1" s="147"/>
      <c r="E1" s="147"/>
      <c r="F1" s="147"/>
      <c r="G1" s="147"/>
      <c r="H1" s="147"/>
      <c r="I1" s="147"/>
      <c r="J1" s="147"/>
      <c r="K1" s="147"/>
    </row>
    <row r="2" spans="1:11"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180" t="s">
        <v>662</v>
      </c>
      <c r="B3" s="985"/>
      <c r="C3" s="389" t="str">
        <f>Head5</f>
        <v>Audited Outcome</v>
      </c>
      <c r="D3" s="994"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1" ht="11.25" customHeight="1" x14ac:dyDescent="0.25">
      <c r="A4" s="265" t="s">
        <v>307</v>
      </c>
      <c r="B4" s="744">
        <v>1</v>
      </c>
      <c r="C4" s="752"/>
      <c r="D4" s="752"/>
      <c r="E4" s="753"/>
      <c r="F4" s="754"/>
      <c r="G4" s="752"/>
      <c r="H4" s="755"/>
      <c r="I4" s="756"/>
      <c r="J4" s="752"/>
      <c r="K4" s="753"/>
    </row>
    <row r="5" spans="1:11" ht="5.0999999999999996" customHeight="1" x14ac:dyDescent="0.25">
      <c r="A5" s="249"/>
      <c r="B5" s="182"/>
      <c r="C5" s="746"/>
      <c r="D5" s="746"/>
      <c r="E5" s="747"/>
      <c r="F5" s="748"/>
      <c r="G5" s="746"/>
      <c r="H5" s="749"/>
      <c r="I5" s="750"/>
      <c r="J5" s="746"/>
      <c r="K5" s="747"/>
    </row>
    <row r="6" spans="1:11" ht="11.25" customHeight="1" x14ac:dyDescent="0.25">
      <c r="A6" s="249" t="s">
        <v>357</v>
      </c>
      <c r="B6" s="182"/>
      <c r="C6" s="746"/>
      <c r="D6" s="746"/>
      <c r="E6" s="747"/>
      <c r="F6" s="748"/>
      <c r="G6" s="746"/>
      <c r="H6" s="749"/>
      <c r="I6" s="750"/>
      <c r="J6" s="746"/>
      <c r="K6" s="747"/>
    </row>
    <row r="7" spans="1:11" ht="18" customHeight="1" x14ac:dyDescent="0.25">
      <c r="A7" s="372" t="str">
        <f>'SA18'!A7</f>
        <v>National Government:</v>
      </c>
      <c r="B7" s="182"/>
      <c r="C7" s="746">
        <f>SUM(C8:C14)</f>
        <v>176722000</v>
      </c>
      <c r="D7" s="746">
        <f t="shared" ref="D7:K7" si="0">SUM(D8:D14)</f>
        <v>226477000</v>
      </c>
      <c r="E7" s="747">
        <f t="shared" si="0"/>
        <v>247290000</v>
      </c>
      <c r="F7" s="748">
        <f t="shared" si="0"/>
        <v>276515000</v>
      </c>
      <c r="G7" s="746">
        <f t="shared" si="0"/>
        <v>16591000</v>
      </c>
      <c r="H7" s="749">
        <f t="shared" si="0"/>
        <v>16591000</v>
      </c>
      <c r="I7" s="750">
        <f t="shared" si="0"/>
        <v>309291000</v>
      </c>
      <c r="J7" s="746">
        <f t="shared" si="0"/>
        <v>327539169</v>
      </c>
      <c r="K7" s="747">
        <f t="shared" si="0"/>
        <v>345881362.46400005</v>
      </c>
    </row>
    <row r="8" spans="1:11" ht="11.25" customHeight="1" x14ac:dyDescent="0.25">
      <c r="A8" s="367" t="str">
        <f>IF('SA18'!A8="","",'SA18'!A8)</f>
        <v>Local Government Equitable Share</v>
      </c>
      <c r="B8" s="182"/>
      <c r="C8" s="1918">
        <v>172932000</v>
      </c>
      <c r="D8" s="1918">
        <v>218428000</v>
      </c>
      <c r="E8" s="1919">
        <v>237008000</v>
      </c>
      <c r="F8" s="1920">
        <v>259924000</v>
      </c>
      <c r="G8" s="1918">
        <v>0</v>
      </c>
      <c r="H8" s="1921">
        <v>0</v>
      </c>
      <c r="I8" s="1922">
        <v>288644000</v>
      </c>
      <c r="J8" s="1918">
        <f>I8*1.059</f>
        <v>305673996</v>
      </c>
      <c r="K8" s="1919">
        <f>J8*1.056</f>
        <v>322791739.77600002</v>
      </c>
    </row>
    <row r="9" spans="1:11" ht="11.25" customHeight="1" x14ac:dyDescent="0.25">
      <c r="A9" s="367" t="str">
        <f>IF('SA18'!A9="","",'SA18'!A9)</f>
        <v xml:space="preserve">Finance Management </v>
      </c>
      <c r="B9" s="182"/>
      <c r="C9" s="1909">
        <v>3000000</v>
      </c>
      <c r="D9" s="1909">
        <v>1250000</v>
      </c>
      <c r="E9" s="1910">
        <v>1550000</v>
      </c>
      <c r="F9" s="1911">
        <v>1600000</v>
      </c>
      <c r="G9" s="1909">
        <v>1600000</v>
      </c>
      <c r="H9" s="1912">
        <v>1600000</v>
      </c>
      <c r="I9" s="1913">
        <v>1600000</v>
      </c>
      <c r="J9" s="1918">
        <f t="shared" ref="J9:J14" si="1">I9*1.059</f>
        <v>1694400</v>
      </c>
      <c r="K9" s="1919">
        <f t="shared" ref="K9:K14" si="2">J9*1.056</f>
        <v>1789286.4000000001</v>
      </c>
    </row>
    <row r="10" spans="1:11" ht="11.25" customHeight="1" x14ac:dyDescent="0.25">
      <c r="A10" s="367" t="str">
        <f>IF('SA18'!A10="","",'SA18'!A10)</f>
        <v>Municipal Systems Improvement</v>
      </c>
      <c r="B10" s="182"/>
      <c r="C10" s="1909">
        <v>790000</v>
      </c>
      <c r="D10" s="1909">
        <v>800000</v>
      </c>
      <c r="E10" s="1910">
        <v>890000</v>
      </c>
      <c r="F10" s="1911">
        <v>934000</v>
      </c>
      <c r="G10" s="1909">
        <v>934000</v>
      </c>
      <c r="H10" s="1912">
        <v>934000</v>
      </c>
      <c r="I10" s="1913">
        <v>930000</v>
      </c>
      <c r="J10" s="1918">
        <f t="shared" si="1"/>
        <v>984870</v>
      </c>
      <c r="K10" s="1919">
        <f t="shared" si="2"/>
        <v>1040022.7200000001</v>
      </c>
    </row>
    <row r="11" spans="1:11" ht="11.25" customHeight="1" x14ac:dyDescent="0.25">
      <c r="A11" s="367" t="str">
        <f>IF('SA18'!A11="","",'SA18'!A11)</f>
        <v xml:space="preserve">Water Services Operating Subsidy </v>
      </c>
      <c r="B11" s="182"/>
      <c r="C11" s="1909"/>
      <c r="D11" s="1909">
        <v>3136000</v>
      </c>
      <c r="E11" s="1910">
        <v>5000000</v>
      </c>
      <c r="F11" s="1911">
        <v>10000000</v>
      </c>
      <c r="G11" s="1909">
        <v>10000000</v>
      </c>
      <c r="H11" s="1912">
        <v>10000000</v>
      </c>
      <c r="I11" s="1913">
        <v>15000000</v>
      </c>
      <c r="J11" s="1918">
        <f t="shared" si="1"/>
        <v>15885000</v>
      </c>
      <c r="K11" s="1919">
        <f t="shared" si="2"/>
        <v>16774560</v>
      </c>
    </row>
    <row r="12" spans="1:11" ht="11.25" customHeight="1" x14ac:dyDescent="0.25">
      <c r="A12" s="367" t="str">
        <f>IF('SA18'!A12="","",'SA18'!A12)</f>
        <v>EPWP Incentive</v>
      </c>
      <c r="B12" s="182"/>
      <c r="C12" s="1909"/>
      <c r="D12" s="1909">
        <v>2863000</v>
      </c>
      <c r="E12" s="1910">
        <v>2842000</v>
      </c>
      <c r="F12" s="1911">
        <v>3757000</v>
      </c>
      <c r="G12" s="1909">
        <v>3757000</v>
      </c>
      <c r="H12" s="1912">
        <v>3757000</v>
      </c>
      <c r="I12" s="1913">
        <v>3117000</v>
      </c>
      <c r="J12" s="1918">
        <f t="shared" si="1"/>
        <v>3300903</v>
      </c>
      <c r="K12" s="1919">
        <f t="shared" si="2"/>
        <v>3485753.568</v>
      </c>
    </row>
    <row r="13" spans="1:11" ht="11.25" customHeight="1" x14ac:dyDescent="0.25">
      <c r="A13" s="367" t="str">
        <f>IF('SA18'!A13="","",'SA18'!A13)</f>
        <v/>
      </c>
      <c r="B13" s="182"/>
      <c r="C13" s="1909"/>
      <c r="D13" s="1909"/>
      <c r="E13" s="1910"/>
      <c r="F13" s="1911"/>
      <c r="G13" s="1909"/>
      <c r="H13" s="1912"/>
      <c r="I13" s="1913">
        <v>0</v>
      </c>
      <c r="J13" s="1918">
        <f t="shared" si="1"/>
        <v>0</v>
      </c>
      <c r="K13" s="1919">
        <f t="shared" si="2"/>
        <v>0</v>
      </c>
    </row>
    <row r="14" spans="1:11" ht="11.25" customHeight="1" x14ac:dyDescent="0.25">
      <c r="A14" s="1917" t="str">
        <f>'SA18'!A14</f>
        <v>Water Services Operating Subsidy in Kind</v>
      </c>
      <c r="B14" s="182"/>
      <c r="C14" s="1923"/>
      <c r="D14" s="1923"/>
      <c r="E14" s="1924"/>
      <c r="F14" s="1925">
        <v>300000</v>
      </c>
      <c r="G14" s="1923">
        <v>300000</v>
      </c>
      <c r="H14" s="1926">
        <v>300000</v>
      </c>
      <c r="I14" s="1927">
        <v>0</v>
      </c>
      <c r="J14" s="1918">
        <f t="shared" si="1"/>
        <v>0</v>
      </c>
      <c r="K14" s="1919">
        <f t="shared" si="2"/>
        <v>0</v>
      </c>
    </row>
    <row r="15" spans="1:11" ht="18" customHeight="1" x14ac:dyDescent="0.25">
      <c r="A15" s="372" t="str">
        <f>'SA18'!A15</f>
        <v>Provincial Government:</v>
      </c>
      <c r="B15" s="182"/>
      <c r="C15" s="746">
        <f>SUM(C16:C20)</f>
        <v>0</v>
      </c>
      <c r="D15" s="746">
        <f t="shared" ref="D15:K15" si="3">SUM(D16:D20)</f>
        <v>0</v>
      </c>
      <c r="E15" s="747">
        <f t="shared" si="3"/>
        <v>0</v>
      </c>
      <c r="F15" s="748">
        <f t="shared" si="3"/>
        <v>0</v>
      </c>
      <c r="G15" s="746">
        <f t="shared" si="3"/>
        <v>0</v>
      </c>
      <c r="H15" s="749">
        <f t="shared" si="3"/>
        <v>0</v>
      </c>
      <c r="I15" s="750">
        <f t="shared" si="3"/>
        <v>0</v>
      </c>
      <c r="J15" s="746">
        <f t="shared" si="3"/>
        <v>0</v>
      </c>
      <c r="K15" s="747">
        <f t="shared" si="3"/>
        <v>0</v>
      </c>
    </row>
    <row r="16" spans="1:11" ht="11.25" customHeight="1" x14ac:dyDescent="0.25">
      <c r="A16" s="367" t="str">
        <f>IF('SA18'!A16="","",'SA18'!A16)</f>
        <v/>
      </c>
      <c r="B16" s="182"/>
      <c r="C16" s="1918"/>
      <c r="D16" s="1918"/>
      <c r="E16" s="1919"/>
      <c r="F16" s="1920"/>
      <c r="G16" s="1918"/>
      <c r="H16" s="1921"/>
      <c r="I16" s="1922"/>
      <c r="J16" s="1918"/>
      <c r="K16" s="1919"/>
    </row>
    <row r="17" spans="1:12" ht="11.25" customHeight="1" x14ac:dyDescent="0.25">
      <c r="A17" s="367" t="str">
        <f>IF('SA18'!A17="","",'SA18'!A17)</f>
        <v/>
      </c>
      <c r="B17" s="182"/>
      <c r="C17" s="1909"/>
      <c r="D17" s="1909"/>
      <c r="E17" s="1910"/>
      <c r="F17" s="1911"/>
      <c r="G17" s="1909"/>
      <c r="H17" s="1912"/>
      <c r="I17" s="1913"/>
      <c r="J17" s="1909"/>
      <c r="K17" s="1910"/>
    </row>
    <row r="18" spans="1:12" ht="11.25" customHeight="1" x14ac:dyDescent="0.25">
      <c r="A18" s="367" t="str">
        <f>IF('SA18'!A18="","",'SA18'!A18)</f>
        <v/>
      </c>
      <c r="B18" s="182"/>
      <c r="C18" s="1909"/>
      <c r="D18" s="1909"/>
      <c r="E18" s="1910"/>
      <c r="F18" s="1911"/>
      <c r="G18" s="1909"/>
      <c r="H18" s="1912"/>
      <c r="I18" s="1913"/>
      <c r="J18" s="1909"/>
      <c r="K18" s="1910"/>
    </row>
    <row r="19" spans="1:12" ht="11.25" customHeight="1" x14ac:dyDescent="0.25">
      <c r="A19" s="367" t="str">
        <f>IF('SA18'!A19="","",'SA18'!A19)</f>
        <v/>
      </c>
      <c r="B19" s="182"/>
      <c r="C19" s="1909"/>
      <c r="D19" s="1909"/>
      <c r="E19" s="1910"/>
      <c r="F19" s="1911"/>
      <c r="G19" s="1909"/>
      <c r="H19" s="1912"/>
      <c r="I19" s="1913"/>
      <c r="J19" s="1909"/>
      <c r="K19" s="1910"/>
    </row>
    <row r="20" spans="1:12" ht="11.25" customHeight="1" x14ac:dyDescent="0.25">
      <c r="A20" s="1917" t="str">
        <f>'SA18'!A20</f>
        <v>Water Services Operating Subsidy in Kind</v>
      </c>
      <c r="B20" s="182"/>
      <c r="C20" s="1923"/>
      <c r="D20" s="1923"/>
      <c r="E20" s="1924"/>
      <c r="F20" s="1925"/>
      <c r="G20" s="1923"/>
      <c r="H20" s="1926"/>
      <c r="I20" s="1927"/>
      <c r="J20" s="1923"/>
      <c r="K20" s="1924"/>
      <c r="L20" s="369"/>
    </row>
    <row r="21" spans="1:12" ht="18" customHeight="1" x14ac:dyDescent="0.25">
      <c r="A21" s="372" t="str">
        <f>'SA18'!A21</f>
        <v>District Municipality:</v>
      </c>
      <c r="B21" s="182"/>
      <c r="C21" s="746">
        <f>SUM(C22:C23)</f>
        <v>0</v>
      </c>
      <c r="D21" s="746">
        <f t="shared" ref="D21:K21" si="4">SUM(D22:D23)</f>
        <v>0</v>
      </c>
      <c r="E21" s="747">
        <f t="shared" si="4"/>
        <v>0</v>
      </c>
      <c r="F21" s="748">
        <f t="shared" si="4"/>
        <v>0</v>
      </c>
      <c r="G21" s="746">
        <f t="shared" si="4"/>
        <v>0</v>
      </c>
      <c r="H21" s="749">
        <f t="shared" si="4"/>
        <v>0</v>
      </c>
      <c r="I21" s="750">
        <f t="shared" si="4"/>
        <v>0</v>
      </c>
      <c r="J21" s="746">
        <f t="shared" si="4"/>
        <v>0</v>
      </c>
      <c r="K21" s="747">
        <f t="shared" si="4"/>
        <v>0</v>
      </c>
      <c r="L21" s="369"/>
    </row>
    <row r="22" spans="1:12" ht="11.25" customHeight="1" x14ac:dyDescent="0.25">
      <c r="A22" s="1928" t="str">
        <f>'SA18'!A22</f>
        <v xml:space="preserve">  [insert description]</v>
      </c>
      <c r="B22" s="182"/>
      <c r="C22" s="1918"/>
      <c r="D22" s="1918"/>
      <c r="E22" s="1919"/>
      <c r="F22" s="1920"/>
      <c r="G22" s="1918"/>
      <c r="H22" s="1921"/>
      <c r="I22" s="1922"/>
      <c r="J22" s="1918"/>
      <c r="K22" s="1919"/>
      <c r="L22" s="369"/>
    </row>
    <row r="23" spans="1:12" ht="11.25" customHeight="1" x14ac:dyDescent="0.25">
      <c r="A23" s="1928"/>
      <c r="B23" s="182"/>
      <c r="C23" s="1923"/>
      <c r="D23" s="1923"/>
      <c r="E23" s="1924"/>
      <c r="F23" s="1925"/>
      <c r="G23" s="1923"/>
      <c r="H23" s="1926"/>
      <c r="I23" s="1927"/>
      <c r="J23" s="1923"/>
      <c r="K23" s="1924"/>
      <c r="L23" s="369"/>
    </row>
    <row r="24" spans="1:12" ht="18" customHeight="1" x14ac:dyDescent="0.25">
      <c r="A24" s="372" t="str">
        <f>'SA18'!A24</f>
        <v>Other grant providers:</v>
      </c>
      <c r="B24" s="182"/>
      <c r="C24" s="746">
        <f>SUM(C25:C26)</f>
        <v>0</v>
      </c>
      <c r="D24" s="746">
        <f t="shared" ref="D24:K24" si="5">SUM(D25:D26)</f>
        <v>0</v>
      </c>
      <c r="E24" s="747">
        <f t="shared" si="5"/>
        <v>0</v>
      </c>
      <c r="F24" s="748">
        <f t="shared" si="5"/>
        <v>0</v>
      </c>
      <c r="G24" s="746">
        <f t="shared" si="5"/>
        <v>0</v>
      </c>
      <c r="H24" s="749">
        <f t="shared" si="5"/>
        <v>0</v>
      </c>
      <c r="I24" s="750">
        <f t="shared" si="5"/>
        <v>0</v>
      </c>
      <c r="J24" s="746">
        <f t="shared" si="5"/>
        <v>0</v>
      </c>
      <c r="K24" s="747">
        <f t="shared" si="5"/>
        <v>0</v>
      </c>
      <c r="L24" s="369"/>
    </row>
    <row r="25" spans="1:12" ht="11.25" customHeight="1" x14ac:dyDescent="0.25">
      <c r="A25" s="1928" t="str">
        <f>'SA18'!A25</f>
        <v xml:space="preserve">  [insert description]</v>
      </c>
      <c r="B25" s="182"/>
      <c r="C25" s="1918"/>
      <c r="D25" s="1918"/>
      <c r="E25" s="1919"/>
      <c r="F25" s="1920"/>
      <c r="G25" s="1918"/>
      <c r="H25" s="1921"/>
      <c r="I25" s="1922"/>
      <c r="J25" s="1918"/>
      <c r="K25" s="1919"/>
      <c r="L25" s="369"/>
    </row>
    <row r="26" spans="1:12" ht="11.25" customHeight="1" x14ac:dyDescent="0.25">
      <c r="A26" s="1928"/>
      <c r="B26" s="182"/>
      <c r="C26" s="1923"/>
      <c r="D26" s="1923"/>
      <c r="E26" s="1924"/>
      <c r="F26" s="1925"/>
      <c r="G26" s="1923"/>
      <c r="H26" s="1926"/>
      <c r="I26" s="1927"/>
      <c r="J26" s="1923"/>
      <c r="K26" s="1924"/>
      <c r="L26" s="369"/>
    </row>
    <row r="27" spans="1:12" s="764" customFormat="1" ht="15.75" customHeight="1" x14ac:dyDescent="0.2">
      <c r="A27" s="757" t="s">
        <v>358</v>
      </c>
      <c r="B27" s="758"/>
      <c r="C27" s="759">
        <f t="shared" ref="C27:K27" si="6">C7+C15+C21+C24</f>
        <v>176722000</v>
      </c>
      <c r="D27" s="759">
        <f t="shared" si="6"/>
        <v>226477000</v>
      </c>
      <c r="E27" s="760">
        <f t="shared" si="6"/>
        <v>247290000</v>
      </c>
      <c r="F27" s="761">
        <f t="shared" si="6"/>
        <v>276515000</v>
      </c>
      <c r="G27" s="759">
        <f t="shared" si="6"/>
        <v>16591000</v>
      </c>
      <c r="H27" s="762">
        <f t="shared" si="6"/>
        <v>16591000</v>
      </c>
      <c r="I27" s="763">
        <f t="shared" si="6"/>
        <v>309291000</v>
      </c>
      <c r="J27" s="759">
        <f t="shared" si="6"/>
        <v>327539169</v>
      </c>
      <c r="K27" s="760">
        <f t="shared" si="6"/>
        <v>345881362.46400005</v>
      </c>
      <c r="L27" s="886"/>
    </row>
    <row r="28" spans="1:12" ht="5.0999999999999996" customHeight="1" x14ac:dyDescent="0.25">
      <c r="A28" s="273"/>
      <c r="B28" s="182"/>
      <c r="C28" s="714"/>
      <c r="D28" s="714"/>
      <c r="E28" s="710"/>
      <c r="F28" s="711"/>
      <c r="G28" s="714"/>
      <c r="H28" s="712"/>
      <c r="I28" s="715"/>
      <c r="J28" s="714"/>
      <c r="K28" s="710"/>
      <c r="L28" s="369"/>
    </row>
    <row r="29" spans="1:12" ht="11.25" customHeight="1" x14ac:dyDescent="0.25">
      <c r="A29" s="249" t="s">
        <v>359</v>
      </c>
      <c r="B29" s="182"/>
      <c r="C29" s="714"/>
      <c r="D29" s="714"/>
      <c r="E29" s="710"/>
      <c r="F29" s="711"/>
      <c r="G29" s="714"/>
      <c r="H29" s="712"/>
      <c r="I29" s="715"/>
      <c r="J29" s="714"/>
      <c r="K29" s="710"/>
      <c r="L29" s="369"/>
    </row>
    <row r="30" spans="1:12" ht="18" customHeight="1" x14ac:dyDescent="0.25">
      <c r="A30" s="372" t="str">
        <f>'SA18'!A30</f>
        <v>National Government:</v>
      </c>
      <c r="B30" s="182"/>
      <c r="C30" s="746">
        <f>SUM(C31:C36)</f>
        <v>0</v>
      </c>
      <c r="D30" s="746">
        <f t="shared" ref="D30:K30" si="7">SUM(D31:D36)</f>
        <v>137122277</v>
      </c>
      <c r="E30" s="747">
        <f t="shared" si="7"/>
        <v>90210744</v>
      </c>
      <c r="F30" s="748">
        <f t="shared" si="7"/>
        <v>115285000</v>
      </c>
      <c r="G30" s="746">
        <f t="shared" si="7"/>
        <v>0</v>
      </c>
      <c r="H30" s="749">
        <f t="shared" si="7"/>
        <v>0</v>
      </c>
      <c r="I30" s="750">
        <f t="shared" si="7"/>
        <v>119139000</v>
      </c>
      <c r="J30" s="746">
        <f t="shared" si="7"/>
        <v>126168201</v>
      </c>
      <c r="K30" s="747">
        <f t="shared" si="7"/>
        <v>133233620.25600001</v>
      </c>
      <c r="L30" s="369"/>
    </row>
    <row r="31" spans="1:12" ht="11.25" customHeight="1" x14ac:dyDescent="0.25">
      <c r="A31" s="367" t="str">
        <f>IF('SA18'!A31="","",'SA18'!A31)</f>
        <v xml:space="preserve"> Municipal Infrastructure Grant (MIG)</v>
      </c>
      <c r="B31" s="182"/>
      <c r="C31" s="1918"/>
      <c r="D31" s="1918">
        <v>136960821</v>
      </c>
      <c r="E31" s="1919">
        <v>88132019</v>
      </c>
      <c r="F31" s="1920">
        <v>115285000</v>
      </c>
      <c r="G31" s="1918"/>
      <c r="H31" s="1921"/>
      <c r="I31" s="1922">
        <v>119139000</v>
      </c>
      <c r="J31" s="1918">
        <f>I31*1.059</f>
        <v>126168201</v>
      </c>
      <c r="K31" s="1919">
        <f>J31*1.056</f>
        <v>133233620.25600001</v>
      </c>
      <c r="L31" s="369"/>
    </row>
    <row r="32" spans="1:12" ht="11.25" customHeight="1" x14ac:dyDescent="0.25">
      <c r="A32" s="367" t="str">
        <f>IF('SA18'!A32="","",'SA18'!A32)</f>
        <v/>
      </c>
      <c r="B32" s="182"/>
      <c r="C32" s="1909"/>
      <c r="D32" s="1909"/>
      <c r="E32" s="1910"/>
      <c r="F32" s="1911"/>
      <c r="G32" s="1909"/>
      <c r="H32" s="1912"/>
      <c r="I32" s="1913"/>
      <c r="J32" s="1909"/>
      <c r="K32" s="1910"/>
      <c r="L32" s="369"/>
    </row>
    <row r="33" spans="1:15" ht="11.25" customHeight="1" x14ac:dyDescent="0.25">
      <c r="A33" s="367" t="str">
        <f>IF('SA18'!A33="","",'SA18'!A33)</f>
        <v/>
      </c>
      <c r="B33" s="182"/>
      <c r="C33" s="1909"/>
      <c r="D33" s="1909"/>
      <c r="E33" s="1910"/>
      <c r="F33" s="1911"/>
      <c r="G33" s="1909"/>
      <c r="H33" s="1912"/>
      <c r="I33" s="1913"/>
      <c r="J33" s="1909"/>
      <c r="K33" s="1910"/>
      <c r="L33" s="369"/>
    </row>
    <row r="34" spans="1:15" ht="11.25" customHeight="1" x14ac:dyDescent="0.25">
      <c r="A34" s="367" t="str">
        <f>IF('SA18'!A34="","",'SA18'!A34)</f>
        <v/>
      </c>
      <c r="B34" s="182"/>
      <c r="C34" s="1909"/>
      <c r="D34" s="1909"/>
      <c r="E34" s="1910"/>
      <c r="F34" s="1911"/>
      <c r="G34" s="1909"/>
      <c r="H34" s="1912"/>
      <c r="I34" s="1913"/>
      <c r="J34" s="1909"/>
      <c r="K34" s="1910"/>
      <c r="L34" s="369"/>
    </row>
    <row r="35" spans="1:15" ht="11.25" customHeight="1" x14ac:dyDescent="0.25">
      <c r="A35" s="367" t="str">
        <f>IF('SA18'!A35="","",'SA18'!A35)</f>
        <v/>
      </c>
      <c r="B35" s="182"/>
      <c r="C35" s="1909"/>
      <c r="D35" s="1909"/>
      <c r="E35" s="1910"/>
      <c r="F35" s="1911"/>
      <c r="G35" s="1909"/>
      <c r="H35" s="1912"/>
      <c r="I35" s="1913"/>
      <c r="J35" s="1909"/>
      <c r="K35" s="1910"/>
      <c r="L35" s="369"/>
    </row>
    <row r="36" spans="1:15" ht="11.25" customHeight="1" x14ac:dyDescent="0.25">
      <c r="A36" s="1917" t="str">
        <f>'SA18'!A36</f>
        <v>INEP</v>
      </c>
      <c r="B36" s="182"/>
      <c r="C36" s="1923"/>
      <c r="D36" s="1923">
        <v>161456</v>
      </c>
      <c r="E36" s="1924">
        <v>2078725</v>
      </c>
      <c r="F36" s="1925"/>
      <c r="G36" s="1923"/>
      <c r="H36" s="1926"/>
      <c r="I36" s="1927"/>
      <c r="J36" s="1923"/>
      <c r="K36" s="1924"/>
      <c r="L36" s="369"/>
    </row>
    <row r="37" spans="1:15" ht="18" customHeight="1" x14ac:dyDescent="0.25">
      <c r="A37" s="765" t="str">
        <f>'SA18'!A37</f>
        <v>Provincial Government:</v>
      </c>
      <c r="B37" s="182"/>
      <c r="C37" s="746">
        <f>SUM(C38)</f>
        <v>0</v>
      </c>
      <c r="D37" s="746">
        <f t="shared" ref="D37:K37" si="8">SUM(D38)</f>
        <v>0</v>
      </c>
      <c r="E37" s="747">
        <f t="shared" si="8"/>
        <v>0</v>
      </c>
      <c r="F37" s="748">
        <f t="shared" si="8"/>
        <v>0</v>
      </c>
      <c r="G37" s="746">
        <f t="shared" si="8"/>
        <v>0</v>
      </c>
      <c r="H37" s="749">
        <f t="shared" si="8"/>
        <v>0</v>
      </c>
      <c r="I37" s="750">
        <f t="shared" si="8"/>
        <v>0</v>
      </c>
      <c r="J37" s="746">
        <f t="shared" si="8"/>
        <v>0</v>
      </c>
      <c r="K37" s="747">
        <f t="shared" si="8"/>
        <v>0</v>
      </c>
      <c r="L37" s="369"/>
      <c r="O37" s="369"/>
    </row>
    <row r="38" spans="1:15" ht="25.5" x14ac:dyDescent="0.25">
      <c r="A38" s="1929" t="str">
        <f>'SA18'!A38</f>
        <v>Other capital transfers/grants [insert description]</v>
      </c>
      <c r="B38" s="182"/>
      <c r="C38" s="1930"/>
      <c r="D38" s="1930"/>
      <c r="E38" s="1931"/>
      <c r="F38" s="1932"/>
      <c r="G38" s="1930"/>
      <c r="H38" s="1933"/>
      <c r="I38" s="1934"/>
      <c r="J38" s="1930"/>
      <c r="K38" s="1931"/>
      <c r="L38" s="369"/>
    </row>
    <row r="39" spans="1:15" ht="18" customHeight="1" x14ac:dyDescent="0.25">
      <c r="A39" s="372" t="str">
        <f>'SA18'!A39</f>
        <v>District Municipality:</v>
      </c>
      <c r="B39" s="182"/>
      <c r="C39" s="746">
        <f>SUM(C40:C41)</f>
        <v>0</v>
      </c>
      <c r="D39" s="746">
        <f t="shared" ref="D39:K39" si="9">SUM(D40:D41)</f>
        <v>0</v>
      </c>
      <c r="E39" s="747">
        <f t="shared" si="9"/>
        <v>0</v>
      </c>
      <c r="F39" s="748">
        <f t="shared" si="9"/>
        <v>0</v>
      </c>
      <c r="G39" s="746">
        <f t="shared" si="9"/>
        <v>0</v>
      </c>
      <c r="H39" s="749">
        <f t="shared" si="9"/>
        <v>0</v>
      </c>
      <c r="I39" s="750">
        <f t="shared" si="9"/>
        <v>0</v>
      </c>
      <c r="J39" s="746">
        <f t="shared" si="9"/>
        <v>0</v>
      </c>
      <c r="K39" s="747">
        <f t="shared" si="9"/>
        <v>0</v>
      </c>
      <c r="L39" s="369"/>
    </row>
    <row r="40" spans="1:15" ht="11.25" customHeight="1" x14ac:dyDescent="0.25">
      <c r="A40" s="1928" t="str">
        <f>'SA18'!A40</f>
        <v xml:space="preserve">  [insert description]</v>
      </c>
      <c r="B40" s="182"/>
      <c r="C40" s="1918"/>
      <c r="D40" s="1918"/>
      <c r="E40" s="1919"/>
      <c r="F40" s="1920"/>
      <c r="G40" s="1918"/>
      <c r="H40" s="1921"/>
      <c r="I40" s="1922"/>
      <c r="J40" s="1918"/>
      <c r="K40" s="1919"/>
      <c r="L40" s="369"/>
    </row>
    <row r="41" spans="1:15" ht="11.25" customHeight="1" x14ac:dyDescent="0.25">
      <c r="A41" s="1928"/>
      <c r="B41" s="182"/>
      <c r="C41" s="1923"/>
      <c r="D41" s="1923"/>
      <c r="E41" s="1924"/>
      <c r="F41" s="1925"/>
      <c r="G41" s="1923"/>
      <c r="H41" s="1926"/>
      <c r="I41" s="1927"/>
      <c r="J41" s="1923"/>
      <c r="K41" s="1924"/>
      <c r="L41" s="369"/>
    </row>
    <row r="42" spans="1:15" ht="18" customHeight="1" x14ac:dyDescent="0.25">
      <c r="A42" s="372" t="str">
        <f>'SA18'!A42</f>
        <v>Other grant providers:</v>
      </c>
      <c r="B42" s="182"/>
      <c r="C42" s="746">
        <f>SUM(C43:C44)</f>
        <v>0</v>
      </c>
      <c r="D42" s="746">
        <f t="shared" ref="D42:K42" si="10">SUM(D43:D44)</f>
        <v>0</v>
      </c>
      <c r="E42" s="747">
        <f t="shared" si="10"/>
        <v>0</v>
      </c>
      <c r="F42" s="748">
        <f t="shared" si="10"/>
        <v>0</v>
      </c>
      <c r="G42" s="746">
        <f t="shared" si="10"/>
        <v>0</v>
      </c>
      <c r="H42" s="749">
        <f t="shared" si="10"/>
        <v>0</v>
      </c>
      <c r="I42" s="750">
        <f t="shared" si="10"/>
        <v>0</v>
      </c>
      <c r="J42" s="746">
        <f t="shared" si="10"/>
        <v>0</v>
      </c>
      <c r="K42" s="747">
        <f t="shared" si="10"/>
        <v>0</v>
      </c>
      <c r="L42" s="369"/>
    </row>
    <row r="43" spans="1:15" ht="11.25" customHeight="1" x14ac:dyDescent="0.25">
      <c r="A43" s="1928" t="str">
        <f>'SA18'!A43</f>
        <v xml:space="preserve">  [insert description]</v>
      </c>
      <c r="B43" s="182"/>
      <c r="C43" s="1918"/>
      <c r="D43" s="1918"/>
      <c r="E43" s="1919"/>
      <c r="F43" s="1920"/>
      <c r="G43" s="1918"/>
      <c r="H43" s="1921"/>
      <c r="I43" s="1922"/>
      <c r="J43" s="1918"/>
      <c r="K43" s="1919"/>
      <c r="L43" s="369"/>
    </row>
    <row r="44" spans="1:15" ht="11.25" customHeight="1" x14ac:dyDescent="0.25">
      <c r="A44" s="1928"/>
      <c r="B44" s="182"/>
      <c r="C44" s="1923"/>
      <c r="D44" s="1923"/>
      <c r="E44" s="1924"/>
      <c r="F44" s="1925"/>
      <c r="G44" s="1923"/>
      <c r="H44" s="1926"/>
      <c r="I44" s="1927"/>
      <c r="J44" s="1923"/>
      <c r="K44" s="1924"/>
      <c r="L44" s="369"/>
    </row>
    <row r="45" spans="1:15" ht="15.75" customHeight="1" x14ac:dyDescent="0.25">
      <c r="A45" s="766" t="s">
        <v>360</v>
      </c>
      <c r="B45" s="767"/>
      <c r="C45" s="746">
        <f>C30+C37+C39+C42</f>
        <v>0</v>
      </c>
      <c r="D45" s="746">
        <f t="shared" ref="D45:K45" si="11">D30+D37+D39+D42</f>
        <v>137122277</v>
      </c>
      <c r="E45" s="747">
        <f t="shared" si="11"/>
        <v>90210744</v>
      </c>
      <c r="F45" s="748">
        <f t="shared" si="11"/>
        <v>115285000</v>
      </c>
      <c r="G45" s="746">
        <f t="shared" si="11"/>
        <v>0</v>
      </c>
      <c r="H45" s="749">
        <f t="shared" si="11"/>
        <v>0</v>
      </c>
      <c r="I45" s="750">
        <f t="shared" si="11"/>
        <v>119139000</v>
      </c>
      <c r="J45" s="746">
        <f t="shared" si="11"/>
        <v>126168201</v>
      </c>
      <c r="K45" s="747">
        <f t="shared" si="11"/>
        <v>133233620.25600001</v>
      </c>
      <c r="L45" s="369"/>
    </row>
    <row r="46" spans="1:15" ht="3.75" customHeight="1" x14ac:dyDescent="0.25">
      <c r="A46" s="273"/>
      <c r="B46" s="182"/>
      <c r="C46" s="714"/>
      <c r="D46" s="714"/>
      <c r="E46" s="710"/>
      <c r="F46" s="711"/>
      <c r="G46" s="714"/>
      <c r="H46" s="712"/>
      <c r="I46" s="715"/>
      <c r="J46" s="714"/>
      <c r="K46" s="710"/>
      <c r="L46" s="369"/>
    </row>
    <row r="47" spans="1:15" s="764" customFormat="1" ht="16.5" customHeight="1" x14ac:dyDescent="0.25">
      <c r="A47" s="1529" t="s">
        <v>562</v>
      </c>
      <c r="B47" s="1344"/>
      <c r="C47" s="770">
        <f t="shared" ref="C47:K47" si="12">C27+C45</f>
        <v>176722000</v>
      </c>
      <c r="D47" s="770">
        <f t="shared" si="12"/>
        <v>363599277</v>
      </c>
      <c r="E47" s="771">
        <f t="shared" si="12"/>
        <v>337500744</v>
      </c>
      <c r="F47" s="772">
        <f t="shared" si="12"/>
        <v>391800000</v>
      </c>
      <c r="G47" s="770">
        <f t="shared" si="12"/>
        <v>16591000</v>
      </c>
      <c r="H47" s="773">
        <f t="shared" si="12"/>
        <v>16591000</v>
      </c>
      <c r="I47" s="774">
        <f t="shared" si="12"/>
        <v>428430000</v>
      </c>
      <c r="J47" s="770">
        <f t="shared" si="12"/>
        <v>453707370</v>
      </c>
      <c r="K47" s="771">
        <f t="shared" si="12"/>
        <v>479114982.72000003</v>
      </c>
      <c r="L47" s="886"/>
    </row>
    <row r="48" spans="1:15" s="708" customFormat="1" ht="11.25" customHeight="1" x14ac:dyDescent="0.25">
      <c r="A48" s="1228" t="str">
        <f>head27a</f>
        <v>References</v>
      </c>
      <c r="B48" s="1043"/>
      <c r="L48" s="1082"/>
    </row>
    <row r="49" spans="1:12" s="708" customFormat="1" ht="11.25" customHeight="1" x14ac:dyDescent="0.25">
      <c r="A49" s="1190" t="s">
        <v>1392</v>
      </c>
      <c r="B49" s="1043"/>
      <c r="L49" s="1082"/>
    </row>
    <row r="50" spans="1:12" ht="11.25" customHeight="1" x14ac:dyDescent="0.25">
      <c r="L50" s="369"/>
    </row>
    <row r="51" spans="1:12" ht="11.25" customHeight="1" x14ac:dyDescent="0.25">
      <c r="L51" s="369"/>
    </row>
    <row r="52" spans="1:12" ht="11.25" customHeight="1" x14ac:dyDescent="0.25">
      <c r="L52" s="369"/>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customSheetViews>
    <customSheetView guid="{F50C5479-5CC4-4FD7-8319-543D29E829F0}" showGridLines="0" fitToPage="1">
      <pane xSplit="2" ySplit="3" topLeftCell="C38" activePane="bottomRight" state="frozen"/>
      <selection pane="bottomRight" activeCell="D36" sqref="D36"/>
      <pageMargins left="0" right="0" top="0.78740157480314965" bottom="0.59055118110236227" header="0.51181102362204722" footer="0.39370078740157483"/>
      <printOptions horizontalCentered="1"/>
      <pageSetup paperSize="9" scale="87" orientation="portrait" r:id="rId1"/>
      <headerFooter alignWithMargins="0"/>
    </customSheetView>
  </customSheetViews>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87" orientation="portrait" r:id="rId2"/>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2"/>
    <pageSetUpPr fitToPage="1"/>
  </sheetPr>
  <dimension ref="A1:O87"/>
  <sheetViews>
    <sheetView showGridLines="0" zoomScaleNormal="100" workbookViewId="0">
      <pane xSplit="2" ySplit="3" topLeftCell="C47" activePane="bottomRight" state="frozen"/>
      <selection activeCell="F35" sqref="F35"/>
      <selection pane="topRight" activeCell="F35" sqref="F35"/>
      <selection pane="bottomLeft" activeCell="F35" sqref="F35"/>
      <selection pane="bottomRight" activeCell="E32" sqref="E32"/>
    </sheetView>
  </sheetViews>
  <sheetFormatPr defaultRowHeight="12.75" x14ac:dyDescent="0.25"/>
  <cols>
    <col min="1" max="1" width="32.2851562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1" ht="13.5" customHeight="1" x14ac:dyDescent="0.25">
      <c r="A1" s="147" t="str">
        <f>muni&amp;" - "&amp; TableA20</f>
        <v>MP315 Thembisile Hani - Supporting Table SA20 Reconciliation of transfers, grant receipts and unspent funds</v>
      </c>
      <c r="B1" s="147"/>
      <c r="C1" s="147"/>
      <c r="D1" s="147"/>
      <c r="E1" s="147"/>
      <c r="F1" s="147"/>
      <c r="G1" s="147"/>
      <c r="H1" s="147"/>
      <c r="I1" s="147"/>
      <c r="J1" s="147"/>
      <c r="K1" s="147"/>
    </row>
    <row r="2" spans="1:11"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180" t="s">
        <v>662</v>
      </c>
      <c r="B3" s="985"/>
      <c r="C3" s="389" t="str">
        <f>Head5</f>
        <v>Audited Outcome</v>
      </c>
      <c r="D3" s="994"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1" ht="11.25" customHeight="1" x14ac:dyDescent="0.25">
      <c r="A4" s="249" t="s">
        <v>309</v>
      </c>
      <c r="B4" s="182" t="s">
        <v>516</v>
      </c>
      <c r="C4" s="746"/>
      <c r="D4" s="746"/>
      <c r="E4" s="747"/>
      <c r="F4" s="748"/>
      <c r="G4" s="746"/>
      <c r="H4" s="749"/>
      <c r="I4" s="750"/>
      <c r="J4" s="746"/>
      <c r="K4" s="747"/>
    </row>
    <row r="5" spans="1:11" ht="11.25" customHeight="1" x14ac:dyDescent="0.25">
      <c r="A5" s="372" t="str">
        <f>'SA18'!A7</f>
        <v>National Government:</v>
      </c>
      <c r="B5" s="182"/>
      <c r="C5" s="746"/>
      <c r="D5" s="746"/>
      <c r="E5" s="747"/>
      <c r="F5" s="748"/>
      <c r="G5" s="746"/>
      <c r="H5" s="749"/>
      <c r="I5" s="750"/>
      <c r="J5" s="746"/>
      <c r="K5" s="747"/>
    </row>
    <row r="6" spans="1:11" ht="11.25" customHeight="1" x14ac:dyDescent="0.25">
      <c r="A6" s="367" t="s">
        <v>1214</v>
      </c>
      <c r="B6" s="182"/>
      <c r="C6" s="1935"/>
      <c r="D6" s="1935"/>
      <c r="E6" s="1936">
        <v>0</v>
      </c>
      <c r="F6" s="1937">
        <v>0</v>
      </c>
      <c r="G6" s="1935">
        <v>0</v>
      </c>
      <c r="H6" s="1936">
        <v>0</v>
      </c>
      <c r="I6" s="1938">
        <v>0</v>
      </c>
      <c r="J6" s="1935">
        <v>0</v>
      </c>
      <c r="K6" s="1939">
        <v>0</v>
      </c>
    </row>
    <row r="7" spans="1:11" ht="11.25" customHeight="1" x14ac:dyDescent="0.25">
      <c r="A7" s="367" t="s">
        <v>1215</v>
      </c>
      <c r="B7" s="182"/>
      <c r="C7" s="1935">
        <v>312613821</v>
      </c>
      <c r="D7" s="1935">
        <v>226477000</v>
      </c>
      <c r="E7" s="1936">
        <v>247290000</v>
      </c>
      <c r="F7" s="1937">
        <v>280980250</v>
      </c>
      <c r="G7" s="1935">
        <v>279699497.08999997</v>
      </c>
      <c r="H7" s="1936">
        <v>279699497.08999997</v>
      </c>
      <c r="I7" s="1938">
        <v>309291000</v>
      </c>
      <c r="J7" s="1935">
        <f>I7*1.059</f>
        <v>327539169</v>
      </c>
      <c r="K7" s="1939">
        <f>J7*1.056</f>
        <v>345881362.46399999</v>
      </c>
    </row>
    <row r="8" spans="1:11" ht="11.25" customHeight="1" x14ac:dyDescent="0.25">
      <c r="A8" s="781" t="s">
        <v>1213</v>
      </c>
      <c r="B8" s="182"/>
      <c r="C8" s="782">
        <f>C6+C7-C9</f>
        <v>312613821</v>
      </c>
      <c r="D8" s="783">
        <f t="shared" ref="D8:K8" si="0">D6+D7-D9</f>
        <v>226477000</v>
      </c>
      <c r="E8" s="784">
        <f t="shared" si="0"/>
        <v>247290000</v>
      </c>
      <c r="F8" s="785">
        <f t="shared" si="0"/>
        <v>280980250</v>
      </c>
      <c r="G8" s="783">
        <f t="shared" si="0"/>
        <v>279699497.08999997</v>
      </c>
      <c r="H8" s="786">
        <f t="shared" si="0"/>
        <v>279699497.08999997</v>
      </c>
      <c r="I8" s="787">
        <f t="shared" si="0"/>
        <v>309291000</v>
      </c>
      <c r="J8" s="783">
        <f t="shared" si="0"/>
        <v>327539169</v>
      </c>
      <c r="K8" s="784">
        <f t="shared" si="0"/>
        <v>345881362.46399999</v>
      </c>
    </row>
    <row r="9" spans="1:11" ht="11.25" customHeight="1" x14ac:dyDescent="0.25">
      <c r="A9" s="367" t="s">
        <v>466</v>
      </c>
      <c r="B9" s="182"/>
      <c r="C9" s="1935"/>
      <c r="D9" s="1935"/>
      <c r="E9" s="1936">
        <v>0</v>
      </c>
      <c r="F9" s="1937">
        <v>0</v>
      </c>
      <c r="G9" s="1935">
        <v>0</v>
      </c>
      <c r="H9" s="1936">
        <v>0</v>
      </c>
      <c r="I9" s="1938">
        <v>0</v>
      </c>
      <c r="J9" s="1935">
        <v>0</v>
      </c>
      <c r="K9" s="1939">
        <v>0</v>
      </c>
    </row>
    <row r="10" spans="1:11" ht="11.25" customHeight="1" x14ac:dyDescent="0.25">
      <c r="A10" s="765" t="s">
        <v>1019</v>
      </c>
      <c r="B10" s="182"/>
      <c r="C10" s="788"/>
      <c r="D10" s="788"/>
      <c r="E10" s="749"/>
      <c r="F10" s="748"/>
      <c r="G10" s="746"/>
      <c r="H10" s="749"/>
      <c r="I10" s="750"/>
      <c r="J10" s="746"/>
      <c r="K10" s="747"/>
    </row>
    <row r="11" spans="1:11" ht="11.25" customHeight="1" x14ac:dyDescent="0.25">
      <c r="A11" s="367" t="s">
        <v>1214</v>
      </c>
      <c r="B11" s="182"/>
      <c r="C11" s="1935"/>
      <c r="D11" s="1935"/>
      <c r="E11" s="1936">
        <v>0</v>
      </c>
      <c r="F11" s="1937">
        <v>0</v>
      </c>
      <c r="G11" s="1935">
        <v>0</v>
      </c>
      <c r="H11" s="1936">
        <v>0</v>
      </c>
      <c r="I11" s="1938">
        <v>0</v>
      </c>
      <c r="J11" s="1935">
        <v>0</v>
      </c>
      <c r="K11" s="1939">
        <v>0</v>
      </c>
    </row>
    <row r="12" spans="1:11" ht="11.25" customHeight="1" x14ac:dyDescent="0.25">
      <c r="A12" s="789" t="str">
        <f>A7</f>
        <v>Current year receipts</v>
      </c>
      <c r="B12" s="182"/>
      <c r="C12" s="1935"/>
      <c r="D12" s="1935"/>
      <c r="E12" s="1936">
        <v>0</v>
      </c>
      <c r="F12" s="1937">
        <v>0</v>
      </c>
      <c r="G12" s="1935">
        <v>0</v>
      </c>
      <c r="H12" s="1936">
        <v>0</v>
      </c>
      <c r="I12" s="1938">
        <v>0</v>
      </c>
      <c r="J12" s="1935">
        <v>0</v>
      </c>
      <c r="K12" s="1939">
        <v>0</v>
      </c>
    </row>
    <row r="13" spans="1:11" ht="11.25" customHeight="1" x14ac:dyDescent="0.25">
      <c r="A13" s="791" t="str">
        <f>A8</f>
        <v>Conditions met - transferred to revenue</v>
      </c>
      <c r="B13" s="182"/>
      <c r="C13" s="782">
        <f t="shared" ref="C13:K13" si="1">C11+C12-C14</f>
        <v>0</v>
      </c>
      <c r="D13" s="783">
        <f t="shared" si="1"/>
        <v>0</v>
      </c>
      <c r="E13" s="784">
        <f t="shared" si="1"/>
        <v>0</v>
      </c>
      <c r="F13" s="785">
        <f t="shared" si="1"/>
        <v>0</v>
      </c>
      <c r="G13" s="783">
        <f t="shared" si="1"/>
        <v>0</v>
      </c>
      <c r="H13" s="786">
        <f t="shared" si="1"/>
        <v>0</v>
      </c>
      <c r="I13" s="787">
        <f t="shared" si="1"/>
        <v>0</v>
      </c>
      <c r="J13" s="783">
        <f t="shared" si="1"/>
        <v>0</v>
      </c>
      <c r="K13" s="784">
        <f t="shared" si="1"/>
        <v>0</v>
      </c>
    </row>
    <row r="14" spans="1:11" ht="11.25" customHeight="1" x14ac:dyDescent="0.25">
      <c r="A14" s="789" t="str">
        <f>A9</f>
        <v>Conditions still to be met - transferred to liabilities</v>
      </c>
      <c r="B14" s="182"/>
      <c r="C14" s="1935"/>
      <c r="D14" s="1935"/>
      <c r="E14" s="1936">
        <v>0</v>
      </c>
      <c r="F14" s="1937">
        <v>0</v>
      </c>
      <c r="G14" s="1935">
        <v>0</v>
      </c>
      <c r="H14" s="1936">
        <v>0</v>
      </c>
      <c r="I14" s="1938">
        <v>0</v>
      </c>
      <c r="J14" s="1935">
        <v>0</v>
      </c>
      <c r="K14" s="1939">
        <v>0</v>
      </c>
    </row>
    <row r="15" spans="1:11" ht="11.25" customHeight="1" x14ac:dyDescent="0.25">
      <c r="A15" s="765" t="s">
        <v>1055</v>
      </c>
      <c r="B15" s="182"/>
      <c r="C15" s="780"/>
      <c r="D15" s="780"/>
      <c r="E15" s="790"/>
      <c r="F15" s="777"/>
      <c r="G15" s="775"/>
      <c r="H15" s="776"/>
      <c r="I15" s="778"/>
      <c r="J15" s="775"/>
      <c r="K15" s="779"/>
    </row>
    <row r="16" spans="1:11" ht="11.25" customHeight="1" x14ac:dyDescent="0.25">
      <c r="A16" s="367" t="str">
        <f>A11</f>
        <v>Balance unspent at beginning of the year</v>
      </c>
      <c r="B16" s="182"/>
      <c r="C16" s="1935"/>
      <c r="D16" s="1935"/>
      <c r="E16" s="1936">
        <v>0</v>
      </c>
      <c r="F16" s="1937">
        <v>0</v>
      </c>
      <c r="G16" s="1935">
        <v>0</v>
      </c>
      <c r="H16" s="1936">
        <v>0</v>
      </c>
      <c r="I16" s="1938">
        <v>0</v>
      </c>
      <c r="J16" s="1935">
        <v>0</v>
      </c>
      <c r="K16" s="1939">
        <v>0</v>
      </c>
    </row>
    <row r="17" spans="1:11" ht="11.25" customHeight="1" x14ac:dyDescent="0.25">
      <c r="A17" s="789" t="str">
        <f>A12</f>
        <v>Current year receipts</v>
      </c>
      <c r="B17" s="182"/>
      <c r="C17" s="1935"/>
      <c r="D17" s="1935"/>
      <c r="E17" s="1936">
        <v>0</v>
      </c>
      <c r="F17" s="1937">
        <v>0</v>
      </c>
      <c r="G17" s="1935">
        <v>0</v>
      </c>
      <c r="H17" s="1936">
        <v>0</v>
      </c>
      <c r="I17" s="1938">
        <v>0</v>
      </c>
      <c r="J17" s="1935">
        <v>0</v>
      </c>
      <c r="K17" s="1939">
        <v>0</v>
      </c>
    </row>
    <row r="18" spans="1:11" ht="11.25" customHeight="1" x14ac:dyDescent="0.25">
      <c r="A18" s="791" t="str">
        <f>A13</f>
        <v>Conditions met - transferred to revenue</v>
      </c>
      <c r="B18" s="182"/>
      <c r="C18" s="782">
        <f t="shared" ref="C18:K18" si="2">C16+C17-C19</f>
        <v>0</v>
      </c>
      <c r="D18" s="783">
        <f t="shared" si="2"/>
        <v>0</v>
      </c>
      <c r="E18" s="784">
        <f t="shared" si="2"/>
        <v>0</v>
      </c>
      <c r="F18" s="785">
        <f t="shared" si="2"/>
        <v>0</v>
      </c>
      <c r="G18" s="783">
        <f t="shared" si="2"/>
        <v>0</v>
      </c>
      <c r="H18" s="786">
        <f t="shared" si="2"/>
        <v>0</v>
      </c>
      <c r="I18" s="787">
        <f t="shared" si="2"/>
        <v>0</v>
      </c>
      <c r="J18" s="783">
        <f t="shared" si="2"/>
        <v>0</v>
      </c>
      <c r="K18" s="784">
        <f t="shared" si="2"/>
        <v>0</v>
      </c>
    </row>
    <row r="19" spans="1:11" ht="11.25" customHeight="1" x14ac:dyDescent="0.25">
      <c r="A19" s="789" t="str">
        <f>A14</f>
        <v>Conditions still to be met - transferred to liabilities</v>
      </c>
      <c r="B19" s="182"/>
      <c r="C19" s="1935"/>
      <c r="D19" s="1935"/>
      <c r="E19" s="1936">
        <v>0</v>
      </c>
      <c r="F19" s="1937">
        <v>0</v>
      </c>
      <c r="G19" s="1935">
        <v>0</v>
      </c>
      <c r="H19" s="1936">
        <v>0</v>
      </c>
      <c r="I19" s="1938">
        <v>0</v>
      </c>
      <c r="J19" s="1935">
        <v>0</v>
      </c>
      <c r="K19" s="1939">
        <v>0</v>
      </c>
    </row>
    <row r="20" spans="1:11" ht="11.25" customHeight="1" x14ac:dyDescent="0.25">
      <c r="A20" s="765" t="s">
        <v>585</v>
      </c>
      <c r="B20" s="182"/>
      <c r="C20" s="780"/>
      <c r="D20" s="780"/>
      <c r="E20" s="790"/>
      <c r="F20" s="777"/>
      <c r="G20" s="775"/>
      <c r="H20" s="776"/>
      <c r="I20" s="778"/>
      <c r="J20" s="775"/>
      <c r="K20" s="779"/>
    </row>
    <row r="21" spans="1:11" ht="11.25" customHeight="1" x14ac:dyDescent="0.25">
      <c r="A21" s="789" t="str">
        <f>A11</f>
        <v>Balance unspent at beginning of the year</v>
      </c>
      <c r="B21" s="182"/>
      <c r="C21" s="1935"/>
      <c r="D21" s="1935"/>
      <c r="E21" s="1936">
        <v>0</v>
      </c>
      <c r="F21" s="1937">
        <v>0</v>
      </c>
      <c r="G21" s="1935">
        <v>0</v>
      </c>
      <c r="H21" s="1936">
        <v>0</v>
      </c>
      <c r="I21" s="1938">
        <v>0</v>
      </c>
      <c r="J21" s="1935">
        <v>0</v>
      </c>
      <c r="K21" s="1939">
        <v>0</v>
      </c>
    </row>
    <row r="22" spans="1:11" ht="11.25" customHeight="1" x14ac:dyDescent="0.25">
      <c r="A22" s="789" t="str">
        <f>A12</f>
        <v>Current year receipts</v>
      </c>
      <c r="B22" s="182"/>
      <c r="C22" s="1935"/>
      <c r="D22" s="1935"/>
      <c r="E22" s="1936">
        <v>0</v>
      </c>
      <c r="F22" s="1937">
        <v>0</v>
      </c>
      <c r="G22" s="1935">
        <v>0</v>
      </c>
      <c r="H22" s="1936">
        <v>0</v>
      </c>
      <c r="I22" s="1938">
        <v>0</v>
      </c>
      <c r="J22" s="1935">
        <v>0</v>
      </c>
      <c r="K22" s="1939">
        <v>0</v>
      </c>
    </row>
    <row r="23" spans="1:11" ht="11.25" customHeight="1" x14ac:dyDescent="0.25">
      <c r="A23" s="791" t="str">
        <f>A13</f>
        <v>Conditions met - transferred to revenue</v>
      </c>
      <c r="B23" s="182"/>
      <c r="C23" s="782">
        <f t="shared" ref="C23:K23" si="3">C21+C22-C24</f>
        <v>0</v>
      </c>
      <c r="D23" s="783">
        <f t="shared" si="3"/>
        <v>0</v>
      </c>
      <c r="E23" s="784">
        <f t="shared" si="3"/>
        <v>0</v>
      </c>
      <c r="F23" s="785">
        <f t="shared" si="3"/>
        <v>0</v>
      </c>
      <c r="G23" s="783">
        <f t="shared" si="3"/>
        <v>0</v>
      </c>
      <c r="H23" s="786">
        <f t="shared" si="3"/>
        <v>0</v>
      </c>
      <c r="I23" s="787">
        <f t="shared" si="3"/>
        <v>0</v>
      </c>
      <c r="J23" s="783">
        <f t="shared" si="3"/>
        <v>0</v>
      </c>
      <c r="K23" s="784">
        <f t="shared" si="3"/>
        <v>0</v>
      </c>
    </row>
    <row r="24" spans="1:11" ht="11.25" customHeight="1" x14ac:dyDescent="0.25">
      <c r="A24" s="789" t="str">
        <f>A14</f>
        <v>Conditions still to be met - transferred to liabilities</v>
      </c>
      <c r="B24" s="182"/>
      <c r="C24" s="1935"/>
      <c r="D24" s="1935"/>
      <c r="E24" s="1939">
        <v>0</v>
      </c>
      <c r="F24" s="1937">
        <v>0</v>
      </c>
      <c r="G24" s="1935">
        <v>0</v>
      </c>
      <c r="H24" s="1936">
        <v>0</v>
      </c>
      <c r="I24" s="1938">
        <v>0</v>
      </c>
      <c r="J24" s="1935">
        <v>0</v>
      </c>
      <c r="K24" s="1939">
        <v>0</v>
      </c>
    </row>
    <row r="25" spans="1:11" ht="11.25" customHeight="1" x14ac:dyDescent="0.25">
      <c r="A25" s="792" t="s">
        <v>354</v>
      </c>
      <c r="B25" s="793"/>
      <c r="C25" s="783">
        <f t="shared" ref="C25:K26" si="4">C8+C13+C18+C23</f>
        <v>312613821</v>
      </c>
      <c r="D25" s="783">
        <f t="shared" si="4"/>
        <v>226477000</v>
      </c>
      <c r="E25" s="784">
        <f t="shared" si="4"/>
        <v>247290000</v>
      </c>
      <c r="F25" s="785">
        <f t="shared" si="4"/>
        <v>280980250</v>
      </c>
      <c r="G25" s="783">
        <f t="shared" si="4"/>
        <v>279699497.08999997</v>
      </c>
      <c r="H25" s="786">
        <f t="shared" si="4"/>
        <v>279699497.08999997</v>
      </c>
      <c r="I25" s="787">
        <f t="shared" si="4"/>
        <v>309291000</v>
      </c>
      <c r="J25" s="783">
        <f t="shared" si="4"/>
        <v>327539169</v>
      </c>
      <c r="K25" s="784">
        <f t="shared" si="4"/>
        <v>345881362.46399999</v>
      </c>
    </row>
    <row r="26" spans="1:11" ht="11.25" customHeight="1" x14ac:dyDescent="0.25">
      <c r="A26" s="792" t="s">
        <v>355</v>
      </c>
      <c r="B26" s="793">
        <v>2</v>
      </c>
      <c r="C26" s="783">
        <f t="shared" si="4"/>
        <v>0</v>
      </c>
      <c r="D26" s="783">
        <f t="shared" si="4"/>
        <v>0</v>
      </c>
      <c r="E26" s="784">
        <f t="shared" si="4"/>
        <v>0</v>
      </c>
      <c r="F26" s="785">
        <f t="shared" si="4"/>
        <v>0</v>
      </c>
      <c r="G26" s="783">
        <f t="shared" si="4"/>
        <v>0</v>
      </c>
      <c r="H26" s="786">
        <f t="shared" si="4"/>
        <v>0</v>
      </c>
      <c r="I26" s="787">
        <f t="shared" si="4"/>
        <v>0</v>
      </c>
      <c r="J26" s="783">
        <f t="shared" si="4"/>
        <v>0</v>
      </c>
      <c r="K26" s="784">
        <f t="shared" si="4"/>
        <v>0</v>
      </c>
    </row>
    <row r="27" spans="1:11" ht="5.0999999999999996" customHeight="1" x14ac:dyDescent="0.25">
      <c r="A27" s="273"/>
      <c r="B27" s="182"/>
      <c r="C27" s="714"/>
      <c r="D27" s="714"/>
      <c r="E27" s="710"/>
      <c r="F27" s="711"/>
      <c r="G27" s="714"/>
      <c r="H27" s="712"/>
      <c r="I27" s="715"/>
      <c r="J27" s="714"/>
      <c r="K27" s="710"/>
    </row>
    <row r="28" spans="1:11" ht="11.25" customHeight="1" x14ac:dyDescent="0.25">
      <c r="A28" s="249" t="s">
        <v>308</v>
      </c>
      <c r="B28" s="182" t="s">
        <v>516</v>
      </c>
      <c r="C28" s="714"/>
      <c r="D28" s="714"/>
      <c r="E28" s="710"/>
      <c r="F28" s="711"/>
      <c r="G28" s="714"/>
      <c r="H28" s="712"/>
      <c r="I28" s="715"/>
      <c r="J28" s="714"/>
      <c r="K28" s="710"/>
    </row>
    <row r="29" spans="1:11" ht="11.25" customHeight="1" x14ac:dyDescent="0.25">
      <c r="A29" s="765" t="str">
        <f>A5</f>
        <v>National Government:</v>
      </c>
      <c r="B29" s="182"/>
      <c r="C29" s="714"/>
      <c r="D29" s="714"/>
      <c r="E29" s="710"/>
      <c r="F29" s="711"/>
      <c r="G29" s="714"/>
      <c r="H29" s="712"/>
      <c r="I29" s="715"/>
      <c r="J29" s="714"/>
      <c r="K29" s="710"/>
    </row>
    <row r="30" spans="1:11" ht="11.25" customHeight="1" x14ac:dyDescent="0.25">
      <c r="A30" s="367" t="s">
        <v>1214</v>
      </c>
      <c r="B30" s="182"/>
      <c r="C30" s="1935"/>
      <c r="D30" s="1935"/>
      <c r="E30" s="1936">
        <v>0</v>
      </c>
      <c r="F30" s="1937">
        <v>0</v>
      </c>
      <c r="G30" s="1935">
        <v>0</v>
      </c>
      <c r="H30" s="1936">
        <v>0</v>
      </c>
      <c r="I30" s="1938">
        <v>0</v>
      </c>
      <c r="J30" s="1935">
        <v>0</v>
      </c>
      <c r="K30" s="1939">
        <v>0</v>
      </c>
    </row>
    <row r="31" spans="1:11" ht="11.25" customHeight="1" x14ac:dyDescent="0.25">
      <c r="A31" s="367" t="s">
        <v>1215</v>
      </c>
      <c r="B31" s="182"/>
      <c r="C31" s="1909">
        <v>44966000</v>
      </c>
      <c r="D31" s="1909">
        <v>16769034.029999999</v>
      </c>
      <c r="E31" s="1912">
        <v>113650291</v>
      </c>
      <c r="F31" s="1911">
        <v>110819751.63</v>
      </c>
      <c r="G31" s="1909">
        <v>111340502.91</v>
      </c>
      <c r="H31" s="1912">
        <v>111340502.91</v>
      </c>
      <c r="I31" s="1913">
        <v>116339135</v>
      </c>
      <c r="J31" s="1909">
        <v>122737787.425</v>
      </c>
      <c r="K31" s="1910">
        <v>129242890.158525</v>
      </c>
    </row>
    <row r="32" spans="1:11" ht="11.25" customHeight="1" x14ac:dyDescent="0.25">
      <c r="A32" s="781" t="s">
        <v>1213</v>
      </c>
      <c r="B32" s="182"/>
      <c r="C32" s="782">
        <f t="shared" ref="C32:K32" si="5">C30+C31-C33</f>
        <v>44966000</v>
      </c>
      <c r="D32" s="783">
        <f t="shared" si="5"/>
        <v>16769034.029999999</v>
      </c>
      <c r="E32" s="784">
        <f t="shared" si="5"/>
        <v>113650291</v>
      </c>
      <c r="F32" s="785">
        <f t="shared" si="5"/>
        <v>110819751.63</v>
      </c>
      <c r="G32" s="783">
        <f t="shared" si="5"/>
        <v>111340502.91</v>
      </c>
      <c r="H32" s="786">
        <f t="shared" si="5"/>
        <v>111340502.91</v>
      </c>
      <c r="I32" s="787">
        <f t="shared" si="5"/>
        <v>116339135</v>
      </c>
      <c r="J32" s="783">
        <f t="shared" si="5"/>
        <v>122737787.425</v>
      </c>
      <c r="K32" s="784">
        <f t="shared" si="5"/>
        <v>129242890.158525</v>
      </c>
    </row>
    <row r="33" spans="1:15" ht="11.25" customHeight="1" x14ac:dyDescent="0.25">
      <c r="A33" s="367" t="s">
        <v>466</v>
      </c>
      <c r="B33" s="182"/>
      <c r="C33" s="1935"/>
      <c r="D33" s="1935"/>
      <c r="E33" s="1936">
        <v>0</v>
      </c>
      <c r="F33" s="1937">
        <v>0</v>
      </c>
      <c r="G33" s="1935">
        <v>0</v>
      </c>
      <c r="H33" s="1936">
        <v>0</v>
      </c>
      <c r="I33" s="1938">
        <v>0</v>
      </c>
      <c r="J33" s="1935">
        <v>0</v>
      </c>
      <c r="K33" s="1939">
        <v>0</v>
      </c>
    </row>
    <row r="34" spans="1:15" ht="11.25" customHeight="1" x14ac:dyDescent="0.25">
      <c r="A34" s="765" t="s">
        <v>1019</v>
      </c>
      <c r="B34" s="182"/>
      <c r="C34" s="788"/>
      <c r="D34" s="788"/>
      <c r="E34" s="749"/>
      <c r="F34" s="748"/>
      <c r="G34" s="746"/>
      <c r="H34" s="749"/>
      <c r="I34" s="750"/>
      <c r="J34" s="746"/>
      <c r="K34" s="747"/>
    </row>
    <row r="35" spans="1:15" ht="11.25" customHeight="1" x14ac:dyDescent="0.25">
      <c r="A35" s="367" t="s">
        <v>1214</v>
      </c>
      <c r="B35" s="182"/>
      <c r="C35" s="1935"/>
      <c r="D35" s="1935"/>
      <c r="E35" s="1936">
        <v>0</v>
      </c>
      <c r="F35" s="1937">
        <v>0</v>
      </c>
      <c r="G35" s="1935">
        <v>0</v>
      </c>
      <c r="H35" s="1936">
        <v>0</v>
      </c>
      <c r="I35" s="1938">
        <v>0</v>
      </c>
      <c r="J35" s="1935">
        <v>0</v>
      </c>
      <c r="K35" s="1939">
        <v>0</v>
      </c>
    </row>
    <row r="36" spans="1:15" ht="11.25" customHeight="1" x14ac:dyDescent="0.25">
      <c r="A36" s="789" t="str">
        <f>A31</f>
        <v>Current year receipts</v>
      </c>
      <c r="B36" s="182"/>
      <c r="C36" s="1935"/>
      <c r="D36" s="1909"/>
      <c r="E36" s="1912">
        <v>0</v>
      </c>
      <c r="F36" s="1911">
        <v>0</v>
      </c>
      <c r="G36" s="1909">
        <v>0</v>
      </c>
      <c r="H36" s="1912">
        <v>0</v>
      </c>
      <c r="I36" s="1913">
        <v>0</v>
      </c>
      <c r="J36" s="1909">
        <v>0</v>
      </c>
      <c r="K36" s="1910">
        <v>0</v>
      </c>
    </row>
    <row r="37" spans="1:15" ht="11.25" customHeight="1" x14ac:dyDescent="0.25">
      <c r="A37" s="791" t="str">
        <f>A32</f>
        <v>Conditions met - transferred to revenue</v>
      </c>
      <c r="B37" s="182"/>
      <c r="C37" s="782">
        <f t="shared" ref="C37:K37" si="6">C35+C36-C38</f>
        <v>0</v>
      </c>
      <c r="D37" s="783">
        <f t="shared" si="6"/>
        <v>0</v>
      </c>
      <c r="E37" s="784">
        <f t="shared" si="6"/>
        <v>0</v>
      </c>
      <c r="F37" s="785">
        <f t="shared" si="6"/>
        <v>0</v>
      </c>
      <c r="G37" s="783">
        <f t="shared" si="6"/>
        <v>0</v>
      </c>
      <c r="H37" s="786">
        <f t="shared" si="6"/>
        <v>0</v>
      </c>
      <c r="I37" s="787">
        <f t="shared" si="6"/>
        <v>0</v>
      </c>
      <c r="J37" s="783">
        <f t="shared" si="6"/>
        <v>0</v>
      </c>
      <c r="K37" s="784">
        <f t="shared" si="6"/>
        <v>0</v>
      </c>
      <c r="O37" s="369"/>
    </row>
    <row r="38" spans="1:15" ht="11.25" customHeight="1" x14ac:dyDescent="0.25">
      <c r="A38" s="789" t="str">
        <f>A33</f>
        <v>Conditions still to be met - transferred to liabilities</v>
      </c>
      <c r="B38" s="182"/>
      <c r="C38" s="1935"/>
      <c r="D38" s="1935"/>
      <c r="E38" s="1936">
        <v>0</v>
      </c>
      <c r="F38" s="1937">
        <v>0</v>
      </c>
      <c r="G38" s="1935">
        <v>0</v>
      </c>
      <c r="H38" s="1936">
        <v>0</v>
      </c>
      <c r="I38" s="1938">
        <v>0</v>
      </c>
      <c r="J38" s="1935">
        <v>0</v>
      </c>
      <c r="K38" s="1939">
        <v>0</v>
      </c>
    </row>
    <row r="39" spans="1:15" ht="11.25" customHeight="1" x14ac:dyDescent="0.25">
      <c r="A39" s="765" t="s">
        <v>1055</v>
      </c>
      <c r="B39" s="182"/>
      <c r="C39" s="780"/>
      <c r="D39" s="780"/>
      <c r="E39" s="790"/>
      <c r="F39" s="777"/>
      <c r="G39" s="775"/>
      <c r="H39" s="776"/>
      <c r="I39" s="778"/>
      <c r="J39" s="775"/>
      <c r="K39" s="779"/>
    </row>
    <row r="40" spans="1:15" ht="11.25" customHeight="1" x14ac:dyDescent="0.25">
      <c r="A40" s="367" t="str">
        <f>A35</f>
        <v>Balance unspent at beginning of the year</v>
      </c>
      <c r="B40" s="182"/>
      <c r="C40" s="1935"/>
      <c r="D40" s="1935"/>
      <c r="E40" s="1936">
        <v>0</v>
      </c>
      <c r="F40" s="1937">
        <v>0</v>
      </c>
      <c r="G40" s="1935">
        <v>0</v>
      </c>
      <c r="H40" s="1936">
        <v>0</v>
      </c>
      <c r="I40" s="1938">
        <v>0</v>
      </c>
      <c r="J40" s="1935">
        <v>0</v>
      </c>
      <c r="K40" s="1939">
        <v>0</v>
      </c>
    </row>
    <row r="41" spans="1:15" ht="11.25" customHeight="1" x14ac:dyDescent="0.25">
      <c r="A41" s="789" t="str">
        <f>A36</f>
        <v>Current year receipts</v>
      </c>
      <c r="B41" s="182"/>
      <c r="C41" s="1935"/>
      <c r="D41" s="1935"/>
      <c r="E41" s="1936">
        <v>0</v>
      </c>
      <c r="F41" s="1937">
        <v>0</v>
      </c>
      <c r="G41" s="1935">
        <v>0</v>
      </c>
      <c r="H41" s="1936">
        <v>0</v>
      </c>
      <c r="I41" s="1938">
        <v>0</v>
      </c>
      <c r="J41" s="1935">
        <v>0</v>
      </c>
      <c r="K41" s="1939">
        <v>0</v>
      </c>
    </row>
    <row r="42" spans="1:15" ht="11.25" customHeight="1" x14ac:dyDescent="0.25">
      <c r="A42" s="791" t="str">
        <f>A37</f>
        <v>Conditions met - transferred to revenue</v>
      </c>
      <c r="B42" s="182"/>
      <c r="C42" s="782">
        <f t="shared" ref="C42:K42" si="7">C40+C41-C43</f>
        <v>0</v>
      </c>
      <c r="D42" s="783">
        <f t="shared" si="7"/>
        <v>0</v>
      </c>
      <c r="E42" s="784">
        <f t="shared" si="7"/>
        <v>0</v>
      </c>
      <c r="F42" s="785">
        <f t="shared" si="7"/>
        <v>0</v>
      </c>
      <c r="G42" s="783">
        <f t="shared" si="7"/>
        <v>0</v>
      </c>
      <c r="H42" s="786">
        <f t="shared" si="7"/>
        <v>0</v>
      </c>
      <c r="I42" s="787">
        <f t="shared" si="7"/>
        <v>0</v>
      </c>
      <c r="J42" s="783">
        <f t="shared" si="7"/>
        <v>0</v>
      </c>
      <c r="K42" s="784">
        <f t="shared" si="7"/>
        <v>0</v>
      </c>
    </row>
    <row r="43" spans="1:15" ht="11.25" customHeight="1" x14ac:dyDescent="0.25">
      <c r="A43" s="789" t="str">
        <f>A38</f>
        <v>Conditions still to be met - transferred to liabilities</v>
      </c>
      <c r="B43" s="182"/>
      <c r="C43" s="1935"/>
      <c r="D43" s="1935"/>
      <c r="E43" s="1936">
        <v>0</v>
      </c>
      <c r="F43" s="1937">
        <v>0</v>
      </c>
      <c r="G43" s="1935">
        <v>0</v>
      </c>
      <c r="H43" s="1936">
        <v>0</v>
      </c>
      <c r="I43" s="1938">
        <v>0</v>
      </c>
      <c r="J43" s="1935">
        <v>0</v>
      </c>
      <c r="K43" s="1939">
        <v>0</v>
      </c>
    </row>
    <row r="44" spans="1:15" ht="11.25" customHeight="1" x14ac:dyDescent="0.25">
      <c r="A44" s="765" t="s">
        <v>585</v>
      </c>
      <c r="B44" s="182"/>
      <c r="C44" s="780"/>
      <c r="D44" s="780"/>
      <c r="E44" s="790"/>
      <c r="F44" s="777"/>
      <c r="G44" s="775"/>
      <c r="H44" s="776"/>
      <c r="I44" s="778"/>
      <c r="J44" s="775"/>
      <c r="K44" s="779"/>
    </row>
    <row r="45" spans="1:15" ht="11.25" customHeight="1" x14ac:dyDescent="0.25">
      <c r="A45" s="789" t="str">
        <f>A35</f>
        <v>Balance unspent at beginning of the year</v>
      </c>
      <c r="B45" s="182"/>
      <c r="C45" s="1935"/>
      <c r="D45" s="1935"/>
      <c r="E45" s="1936">
        <v>0</v>
      </c>
      <c r="F45" s="1937">
        <v>0</v>
      </c>
      <c r="G45" s="1935">
        <v>0</v>
      </c>
      <c r="H45" s="1936">
        <v>0</v>
      </c>
      <c r="I45" s="1938">
        <v>0</v>
      </c>
      <c r="J45" s="1935">
        <v>0</v>
      </c>
      <c r="K45" s="1939">
        <v>0</v>
      </c>
    </row>
    <row r="46" spans="1:15" ht="11.25" customHeight="1" x14ac:dyDescent="0.25">
      <c r="A46" s="789" t="str">
        <f>A36</f>
        <v>Current year receipts</v>
      </c>
      <c r="B46" s="182"/>
      <c r="C46" s="1935"/>
      <c r="D46" s="1935"/>
      <c r="E46" s="1936">
        <v>0</v>
      </c>
      <c r="F46" s="1937">
        <v>0</v>
      </c>
      <c r="G46" s="1935">
        <v>0</v>
      </c>
      <c r="H46" s="1936">
        <v>0</v>
      </c>
      <c r="I46" s="1938">
        <v>0</v>
      </c>
      <c r="J46" s="1935">
        <v>0</v>
      </c>
      <c r="K46" s="1939">
        <v>0</v>
      </c>
    </row>
    <row r="47" spans="1:15" ht="11.25" customHeight="1" x14ac:dyDescent="0.25">
      <c r="A47" s="791" t="str">
        <f>A37</f>
        <v>Conditions met - transferred to revenue</v>
      </c>
      <c r="B47" s="182"/>
      <c r="C47" s="782">
        <f t="shared" ref="C47:K47" si="8">C45+C46-C48</f>
        <v>0</v>
      </c>
      <c r="D47" s="783">
        <f t="shared" si="8"/>
        <v>0</v>
      </c>
      <c r="E47" s="784">
        <f t="shared" si="8"/>
        <v>0</v>
      </c>
      <c r="F47" s="785">
        <f t="shared" si="8"/>
        <v>0</v>
      </c>
      <c r="G47" s="783">
        <f t="shared" si="8"/>
        <v>0</v>
      </c>
      <c r="H47" s="786">
        <f t="shared" si="8"/>
        <v>0</v>
      </c>
      <c r="I47" s="787">
        <f t="shared" si="8"/>
        <v>0</v>
      </c>
      <c r="J47" s="783">
        <f t="shared" si="8"/>
        <v>0</v>
      </c>
      <c r="K47" s="784">
        <f t="shared" si="8"/>
        <v>0</v>
      </c>
    </row>
    <row r="48" spans="1:15" ht="11.25" customHeight="1" x14ac:dyDescent="0.25">
      <c r="A48" s="789" t="str">
        <f>A38</f>
        <v>Conditions still to be met - transferred to liabilities</v>
      </c>
      <c r="B48" s="182"/>
      <c r="C48" s="1935"/>
      <c r="D48" s="1935"/>
      <c r="E48" s="1939">
        <v>0</v>
      </c>
      <c r="F48" s="1937">
        <v>0</v>
      </c>
      <c r="G48" s="1935">
        <v>0</v>
      </c>
      <c r="H48" s="1936">
        <v>0</v>
      </c>
      <c r="I48" s="1938">
        <v>0</v>
      </c>
      <c r="J48" s="1935">
        <v>0</v>
      </c>
      <c r="K48" s="1939">
        <v>0</v>
      </c>
    </row>
    <row r="49" spans="1:11" x14ac:dyDescent="0.25">
      <c r="A49" s="792" t="s">
        <v>623</v>
      </c>
      <c r="B49" s="793"/>
      <c r="C49" s="794">
        <f t="shared" ref="C49:K50" si="9">C32+C37+C42+C47</f>
        <v>44966000</v>
      </c>
      <c r="D49" s="794">
        <f t="shared" si="9"/>
        <v>16769034.029999999</v>
      </c>
      <c r="E49" s="795">
        <f t="shared" si="9"/>
        <v>113650291</v>
      </c>
      <c r="F49" s="796">
        <f t="shared" si="9"/>
        <v>110819751.63</v>
      </c>
      <c r="G49" s="794">
        <f t="shared" si="9"/>
        <v>111340502.91</v>
      </c>
      <c r="H49" s="797">
        <f t="shared" si="9"/>
        <v>111340502.91</v>
      </c>
      <c r="I49" s="798">
        <f t="shared" si="9"/>
        <v>116339135</v>
      </c>
      <c r="J49" s="794">
        <f t="shared" si="9"/>
        <v>122737787.425</v>
      </c>
      <c r="K49" s="795">
        <f t="shared" si="9"/>
        <v>129242890.158525</v>
      </c>
    </row>
    <row r="50" spans="1:11" x14ac:dyDescent="0.25">
      <c r="A50" s="792" t="s">
        <v>356</v>
      </c>
      <c r="B50" s="793">
        <v>2</v>
      </c>
      <c r="C50" s="794">
        <f t="shared" si="9"/>
        <v>0</v>
      </c>
      <c r="D50" s="794">
        <f t="shared" si="9"/>
        <v>0</v>
      </c>
      <c r="E50" s="795">
        <f t="shared" si="9"/>
        <v>0</v>
      </c>
      <c r="F50" s="796">
        <f t="shared" si="9"/>
        <v>0</v>
      </c>
      <c r="G50" s="794">
        <f t="shared" si="9"/>
        <v>0</v>
      </c>
      <c r="H50" s="797">
        <f t="shared" si="9"/>
        <v>0</v>
      </c>
      <c r="I50" s="798">
        <f t="shared" si="9"/>
        <v>0</v>
      </c>
      <c r="J50" s="794">
        <f t="shared" si="9"/>
        <v>0</v>
      </c>
      <c r="K50" s="795">
        <f t="shared" si="9"/>
        <v>0</v>
      </c>
    </row>
    <row r="51" spans="1:11" ht="5.0999999999999996" customHeight="1" x14ac:dyDescent="0.25">
      <c r="A51" s="799"/>
      <c r="B51" s="182"/>
      <c r="C51" s="780"/>
      <c r="D51" s="780"/>
      <c r="E51" s="790"/>
      <c r="F51" s="777"/>
      <c r="G51" s="775"/>
      <c r="H51" s="776"/>
      <c r="I51" s="778"/>
      <c r="J51" s="775"/>
      <c r="K51" s="779"/>
    </row>
    <row r="52" spans="1:11" ht="11.25" customHeight="1" x14ac:dyDescent="0.25">
      <c r="A52" s="1096" t="s">
        <v>290</v>
      </c>
      <c r="B52" s="1097"/>
      <c r="C52" s="1098">
        <f t="shared" ref="C52:K52" si="10">C25+C49</f>
        <v>357579821</v>
      </c>
      <c r="D52" s="1098">
        <f t="shared" si="10"/>
        <v>243246034.03</v>
      </c>
      <c r="E52" s="1099">
        <f t="shared" si="10"/>
        <v>360940291</v>
      </c>
      <c r="F52" s="1100">
        <f t="shared" si="10"/>
        <v>391800001.63</v>
      </c>
      <c r="G52" s="1098">
        <f t="shared" si="10"/>
        <v>391040000</v>
      </c>
      <c r="H52" s="1101">
        <f t="shared" si="10"/>
        <v>391040000</v>
      </c>
      <c r="I52" s="1102">
        <f t="shared" si="10"/>
        <v>425630135</v>
      </c>
      <c r="J52" s="1098">
        <f t="shared" si="10"/>
        <v>450276956.42500001</v>
      </c>
      <c r="K52" s="1099">
        <f t="shared" si="10"/>
        <v>475124252.62252498</v>
      </c>
    </row>
    <row r="53" spans="1:11" ht="11.25" customHeight="1" x14ac:dyDescent="0.25">
      <c r="A53" s="281" t="s">
        <v>1423</v>
      </c>
      <c r="B53" s="225"/>
      <c r="C53" s="727">
        <f>C26+C50</f>
        <v>0</v>
      </c>
      <c r="D53" s="727">
        <f t="shared" ref="D53:K53" si="11">D26+D50</f>
        <v>0</v>
      </c>
      <c r="E53" s="728">
        <f t="shared" si="11"/>
        <v>0</v>
      </c>
      <c r="F53" s="729">
        <f t="shared" si="11"/>
        <v>0</v>
      </c>
      <c r="G53" s="727">
        <f t="shared" si="11"/>
        <v>0</v>
      </c>
      <c r="H53" s="730">
        <f t="shared" si="11"/>
        <v>0</v>
      </c>
      <c r="I53" s="731">
        <f t="shared" si="11"/>
        <v>0</v>
      </c>
      <c r="J53" s="727">
        <f t="shared" si="11"/>
        <v>0</v>
      </c>
      <c r="K53" s="728">
        <f t="shared" si="11"/>
        <v>0</v>
      </c>
    </row>
    <row r="54" spans="1:11" s="708" customFormat="1" ht="11.25" customHeight="1" x14ac:dyDescent="0.25">
      <c r="A54" s="1228" t="str">
        <f>head27a</f>
        <v>References</v>
      </c>
      <c r="B54" s="1077"/>
      <c r="C54" s="1074"/>
      <c r="D54" s="1074"/>
      <c r="E54" s="1074"/>
      <c r="F54" s="1074"/>
      <c r="G54" s="1074"/>
      <c r="H54" s="1074"/>
      <c r="I54" s="1074"/>
      <c r="J54" s="1074"/>
      <c r="K54" s="1074"/>
    </row>
    <row r="55" spans="1:11" s="708" customFormat="1" ht="11.25" customHeight="1" x14ac:dyDescent="0.25">
      <c r="A55" s="2784" t="s">
        <v>622</v>
      </c>
      <c r="B55" s="2784"/>
      <c r="C55" s="2784"/>
      <c r="D55" s="2784"/>
      <c r="E55" s="2784"/>
      <c r="F55" s="2784"/>
      <c r="G55" s="2784"/>
      <c r="H55" s="2784"/>
      <c r="I55" s="2784"/>
      <c r="J55" s="2784"/>
      <c r="K55" s="2784"/>
    </row>
    <row r="56" spans="1:11" s="708" customFormat="1" ht="11.25" customHeight="1" x14ac:dyDescent="0.25">
      <c r="A56" s="2784" t="s">
        <v>289</v>
      </c>
      <c r="B56" s="2784"/>
      <c r="C56" s="2784"/>
      <c r="D56" s="2784"/>
      <c r="E56" s="2784"/>
      <c r="F56" s="2784"/>
      <c r="G56" s="2784"/>
      <c r="H56" s="2784"/>
      <c r="I56" s="2784"/>
      <c r="J56" s="2784"/>
      <c r="K56" s="2784"/>
    </row>
    <row r="57" spans="1:11" s="708" customFormat="1" ht="11.25" customHeight="1" x14ac:dyDescent="0.25">
      <c r="A57" s="2784" t="s">
        <v>884</v>
      </c>
      <c r="B57" s="2784"/>
      <c r="C57" s="2784"/>
      <c r="D57" s="2784"/>
      <c r="E57" s="2784"/>
      <c r="F57" s="2784"/>
      <c r="G57" s="2784"/>
      <c r="H57" s="2784"/>
      <c r="I57" s="2784"/>
      <c r="J57" s="2784"/>
      <c r="K57" s="2784"/>
    </row>
    <row r="58" spans="1:11" ht="11.25" customHeight="1" x14ac:dyDescent="0.25">
      <c r="A58" s="801"/>
      <c r="B58" s="801"/>
      <c r="C58" s="801"/>
      <c r="D58" s="801"/>
      <c r="E58" s="801"/>
      <c r="F58" s="801"/>
      <c r="G58" s="801"/>
      <c r="H58" s="801"/>
      <c r="I58" s="801"/>
      <c r="J58" s="801"/>
      <c r="K58" s="801"/>
    </row>
    <row r="59" spans="1:11" ht="11.25" customHeight="1" x14ac:dyDescent="0.25">
      <c r="A59" s="436" t="s">
        <v>467</v>
      </c>
      <c r="C59" s="362">
        <f>C25-'A4-FinPerf RE'!C19</f>
        <v>0</v>
      </c>
      <c r="D59" s="362">
        <f>D25-'A4-FinPerf RE'!D19</f>
        <v>0</v>
      </c>
      <c r="E59" s="362">
        <f>E25-'A4-FinPerf RE'!E19</f>
        <v>0</v>
      </c>
      <c r="F59" s="362">
        <f>F25-'A4-FinPerf RE'!F19</f>
        <v>0</v>
      </c>
      <c r="G59" s="362">
        <f>G25-'A4-FinPerf RE'!G19</f>
        <v>0</v>
      </c>
      <c r="H59" s="362">
        <f>H25-'A4-FinPerf RE'!H19</f>
        <v>0</v>
      </c>
      <c r="I59" s="362">
        <f>I25-'A4-FinPerf RE'!J19</f>
        <v>0</v>
      </c>
      <c r="J59" s="362">
        <f>J25-'A4-FinPerf RE'!K19</f>
        <v>0</v>
      </c>
      <c r="K59" s="362">
        <f>K25-'A4-FinPerf RE'!L19</f>
        <v>0</v>
      </c>
    </row>
    <row r="60" spans="1:11" ht="11.25" customHeight="1" x14ac:dyDescent="0.25">
      <c r="A60" s="436" t="s">
        <v>468</v>
      </c>
      <c r="C60" s="362">
        <f>C49-'A5-Capex'!C70</f>
        <v>0</v>
      </c>
      <c r="D60" s="362">
        <f>D49-'A5-Capex'!D70</f>
        <v>0</v>
      </c>
      <c r="E60" s="362">
        <f>E49-'A5-Capex'!E70</f>
        <v>0</v>
      </c>
      <c r="F60" s="362">
        <f>F49-'A5-Capex'!F70</f>
        <v>0</v>
      </c>
      <c r="G60" s="362">
        <f>G49-'A5-Capex'!G70</f>
        <v>0</v>
      </c>
      <c r="H60" s="362">
        <f>H49-'A5-Capex'!H70</f>
        <v>0</v>
      </c>
      <c r="I60" s="362">
        <f>I49-'A5-Capex'!J70</f>
        <v>0</v>
      </c>
      <c r="J60" s="362">
        <f>J49-'A5-Capex'!K70</f>
        <v>0</v>
      </c>
      <c r="K60" s="362">
        <f>K49-'A5-Capex'!L70</f>
        <v>0</v>
      </c>
    </row>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sheet="1" objects="1" scenarios="1"/>
  <customSheetViews>
    <customSheetView guid="{F50C5479-5CC4-4FD7-8319-543D29E829F0}" showGridLines="0" fitToPage="1">
      <pane xSplit="2" ySplit="3" topLeftCell="E4" activePane="bottomRight" state="frozen"/>
      <selection pane="bottomRight" activeCell="X60" sqref="X60"/>
      <pageMargins left="0" right="0" top="0.78740157480314965" bottom="0.59055118110236227" header="0.51181102362204722" footer="0.51181102362204722"/>
      <printOptions horizontalCentered="1"/>
      <pageSetup paperSize="9" scale="86" orientation="portrait" r:id="rId1"/>
      <headerFooter alignWithMargins="0"/>
    </customSheetView>
  </customSheetViews>
  <mergeCells count="5">
    <mergeCell ref="A57:K57"/>
    <mergeCell ref="F2:H2"/>
    <mergeCell ref="I2:K2"/>
    <mergeCell ref="A55:K55"/>
    <mergeCell ref="A56:K56"/>
  </mergeCells>
  <phoneticPr fontId="2" type="noConversion"/>
  <printOptions horizontalCentered="1"/>
  <pageMargins left="0" right="0" top="0.78740157480314965" bottom="0.59055118110236227" header="0.51181102362204722" footer="0.51181102362204722"/>
  <pageSetup paperSize="9" scale="86" orientation="portrait" r:id="rId2"/>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42"/>
  </sheetPr>
  <dimension ref="A1:P73"/>
  <sheetViews>
    <sheetView showGridLines="0" zoomScaleNormal="100" workbookViewId="0">
      <selection activeCell="J30" sqref="J30:L32"/>
    </sheetView>
  </sheetViews>
  <sheetFormatPr defaultRowHeight="12.75" x14ac:dyDescent="0.25"/>
  <cols>
    <col min="1" max="1" width="35.7109375" style="149" customWidth="1"/>
    <col min="2" max="2" width="3" style="247" customWidth="1"/>
    <col min="3" max="12" width="9.28515625" style="149" customWidth="1"/>
    <col min="13" max="13" width="9.85546875" style="149" customWidth="1"/>
    <col min="14" max="14" width="9.5703125" style="149" customWidth="1"/>
    <col min="15" max="15" width="9.85546875" style="149" customWidth="1"/>
    <col min="16" max="18" width="9.5703125" style="149" customWidth="1"/>
    <col min="19" max="19" width="9.85546875" style="149" customWidth="1"/>
    <col min="20" max="22" width="9.5703125" style="149" customWidth="1"/>
    <col min="23" max="24" width="9.85546875" style="149" customWidth="1"/>
    <col min="25" max="16384" width="9.140625" style="149"/>
  </cols>
  <sheetData>
    <row r="1" spans="1:12" ht="13.5" customHeight="1" x14ac:dyDescent="0.25">
      <c r="A1" s="147" t="str">
        <f>muni&amp;" - "&amp; TableA21</f>
        <v>MP315 Thembisile Hani - Supporting Table SA21 Transfers and grants made by the municipality</v>
      </c>
      <c r="B1" s="147"/>
      <c r="C1" s="147"/>
      <c r="D1" s="147"/>
      <c r="E1" s="147"/>
      <c r="F1" s="147"/>
      <c r="G1" s="147"/>
      <c r="H1" s="147"/>
      <c r="I1" s="147"/>
      <c r="J1" s="147"/>
      <c r="K1" s="147"/>
      <c r="L1" s="147"/>
    </row>
    <row r="2" spans="1:12" ht="28.5" customHeight="1" x14ac:dyDescent="0.25">
      <c r="A2" s="2145" t="str">
        <f>desc</f>
        <v>Description</v>
      </c>
      <c r="B2" s="2146" t="str">
        <f>head27</f>
        <v>Ref</v>
      </c>
      <c r="C2" s="150" t="str">
        <f>head1b</f>
        <v>2011/12</v>
      </c>
      <c r="D2" s="751" t="str">
        <f>head1A</f>
        <v>2012/13</v>
      </c>
      <c r="E2" s="146" t="str">
        <f>Head1</f>
        <v>2013/14</v>
      </c>
      <c r="F2" s="2766" t="str">
        <f>Head2</f>
        <v>Current Year 2014/15</v>
      </c>
      <c r="G2" s="2767"/>
      <c r="H2" s="2767"/>
      <c r="I2" s="2771"/>
      <c r="J2" s="2763" t="str">
        <f>Head3</f>
        <v>2015/16 Medium Term Revenue &amp; Expenditure Framework</v>
      </c>
      <c r="K2" s="2764"/>
      <c r="L2" s="2765"/>
    </row>
    <row r="3" spans="1:12" ht="25.5" x14ac:dyDescent="0.25">
      <c r="A3" s="180" t="s">
        <v>662</v>
      </c>
      <c r="B3" s="2147"/>
      <c r="C3" s="389" t="str">
        <f>Head5</f>
        <v>Audited Outcome</v>
      </c>
      <c r="D3" s="994" t="str">
        <f>Head5</f>
        <v>Audited Outcome</v>
      </c>
      <c r="E3" s="390" t="str">
        <f>Head5</f>
        <v>Audited Outcome</v>
      </c>
      <c r="F3" s="299" t="str">
        <f>Head6</f>
        <v>Original Budget</v>
      </c>
      <c r="G3" s="389" t="str">
        <f>Head7</f>
        <v>Adjusted Budget</v>
      </c>
      <c r="H3" s="388" t="str">
        <f>Head8</f>
        <v>Full Year Forecast</v>
      </c>
      <c r="I3" s="2224" t="str">
        <f>Head5b</f>
        <v>Pre-audit outcome</v>
      </c>
      <c r="J3" s="388" t="str">
        <f>Head9</f>
        <v>Budget Year 2015/16</v>
      </c>
      <c r="K3" s="389" t="str">
        <f>Head10</f>
        <v>Budget Year +1 2016/17</v>
      </c>
      <c r="L3" s="390" t="str">
        <f>Head11</f>
        <v>Budget Year +2 2017/18</v>
      </c>
    </row>
    <row r="4" spans="1:12" ht="5.25" customHeight="1" x14ac:dyDescent="0.25">
      <c r="A4" s="2209"/>
      <c r="B4" s="2210"/>
      <c r="C4" s="152"/>
      <c r="D4" s="2206"/>
      <c r="E4" s="153"/>
      <c r="F4" s="151"/>
      <c r="G4" s="152"/>
      <c r="H4" s="154"/>
      <c r="I4" s="658"/>
      <c r="J4" s="154"/>
      <c r="K4" s="152"/>
      <c r="L4" s="153"/>
    </row>
    <row r="5" spans="1:12" ht="11.25" customHeight="1" x14ac:dyDescent="0.25">
      <c r="A5" s="249" t="s">
        <v>2023</v>
      </c>
      <c r="B5" s="2148"/>
      <c r="C5" s="203"/>
      <c r="D5" s="203"/>
      <c r="E5" s="204"/>
      <c r="F5" s="205"/>
      <c r="G5" s="203"/>
      <c r="H5" s="2218"/>
      <c r="I5" s="585"/>
      <c r="J5" s="202"/>
      <c r="K5" s="203"/>
      <c r="L5" s="204"/>
    </row>
    <row r="6" spans="1:12" ht="12" customHeight="1" x14ac:dyDescent="0.25">
      <c r="A6" s="1940" t="s">
        <v>1087</v>
      </c>
      <c r="B6" s="2148">
        <v>1</v>
      </c>
      <c r="C6" s="1606"/>
      <c r="D6" s="1606"/>
      <c r="E6" s="1628"/>
      <c r="F6" s="1629"/>
      <c r="G6" s="1606"/>
      <c r="H6" s="1607"/>
      <c r="I6" s="1797"/>
      <c r="J6" s="1630"/>
      <c r="K6" s="1606"/>
      <c r="L6" s="1628"/>
    </row>
    <row r="7" spans="1:12" ht="11.25" customHeight="1" x14ac:dyDescent="0.25">
      <c r="A7" s="1941"/>
      <c r="B7" s="2148"/>
      <c r="C7" s="1606"/>
      <c r="D7" s="1606"/>
      <c r="E7" s="1628"/>
      <c r="F7" s="1629"/>
      <c r="G7" s="1606"/>
      <c r="H7" s="1607"/>
      <c r="I7" s="1797"/>
      <c r="J7" s="1630"/>
      <c r="K7" s="1606"/>
      <c r="L7" s="1628"/>
    </row>
    <row r="8" spans="1:12" ht="11.25" customHeight="1" x14ac:dyDescent="0.25">
      <c r="A8" s="1941"/>
      <c r="B8" s="2148"/>
      <c r="C8" s="1606"/>
      <c r="D8" s="1606"/>
      <c r="E8" s="1628"/>
      <c r="F8" s="1629"/>
      <c r="G8" s="1606"/>
      <c r="H8" s="1607"/>
      <c r="I8" s="1797"/>
      <c r="J8" s="1630"/>
      <c r="K8" s="1606"/>
      <c r="L8" s="1628"/>
    </row>
    <row r="9" spans="1:12" ht="11.25" customHeight="1" x14ac:dyDescent="0.25">
      <c r="A9" s="792" t="s">
        <v>2025</v>
      </c>
      <c r="B9" s="2149"/>
      <c r="C9" s="276">
        <f>SUM(C6:C8)</f>
        <v>0</v>
      </c>
      <c r="D9" s="276">
        <f t="shared" ref="D9:L9" si="0">SUM(D6:D8)</f>
        <v>0</v>
      </c>
      <c r="E9" s="277">
        <f t="shared" si="0"/>
        <v>0</v>
      </c>
      <c r="F9" s="278">
        <f t="shared" si="0"/>
        <v>0</v>
      </c>
      <c r="G9" s="276">
        <f t="shared" si="0"/>
        <v>0</v>
      </c>
      <c r="H9" s="2219">
        <f t="shared" si="0"/>
        <v>0</v>
      </c>
      <c r="I9" s="2225">
        <f t="shared" si="0"/>
        <v>0</v>
      </c>
      <c r="J9" s="275">
        <f t="shared" si="0"/>
        <v>0</v>
      </c>
      <c r="K9" s="276">
        <f t="shared" si="0"/>
        <v>0</v>
      </c>
      <c r="L9" s="277">
        <f t="shared" si="0"/>
        <v>0</v>
      </c>
    </row>
    <row r="10" spans="1:12" ht="6" customHeight="1" x14ac:dyDescent="0.25">
      <c r="A10" s="273"/>
      <c r="B10" s="2148"/>
      <c r="C10" s="203"/>
      <c r="D10" s="203"/>
      <c r="E10" s="204"/>
      <c r="F10" s="205"/>
      <c r="G10" s="203"/>
      <c r="H10" s="2218"/>
      <c r="I10" s="585"/>
      <c r="J10" s="202"/>
      <c r="K10" s="203"/>
      <c r="L10" s="204"/>
    </row>
    <row r="11" spans="1:12" ht="11.25" customHeight="1" x14ac:dyDescent="0.25">
      <c r="A11" s="805" t="s">
        <v>2026</v>
      </c>
      <c r="B11" s="2150"/>
      <c r="C11" s="207"/>
      <c r="D11" s="207"/>
      <c r="E11" s="264"/>
      <c r="F11" s="251"/>
      <c r="G11" s="207"/>
      <c r="H11" s="557"/>
      <c r="I11" s="1065"/>
      <c r="J11" s="210"/>
      <c r="K11" s="207"/>
      <c r="L11" s="264"/>
    </row>
    <row r="12" spans="1:12" ht="11.25" customHeight="1" x14ac:dyDescent="0.25">
      <c r="A12" s="1940" t="str">
        <f>$A$6</f>
        <v>Insert description</v>
      </c>
      <c r="B12" s="2150">
        <v>2</v>
      </c>
      <c r="C12" s="1606"/>
      <c r="D12" s="1606"/>
      <c r="E12" s="1628"/>
      <c r="F12" s="1629"/>
      <c r="G12" s="1606"/>
      <c r="H12" s="1607"/>
      <c r="I12" s="1797"/>
      <c r="J12" s="1630"/>
      <c r="K12" s="1606"/>
      <c r="L12" s="1628"/>
    </row>
    <row r="13" spans="1:12" ht="11.25" customHeight="1" x14ac:dyDescent="0.25">
      <c r="A13" s="1914"/>
      <c r="B13" s="2150"/>
      <c r="C13" s="1606"/>
      <c r="D13" s="1606"/>
      <c r="E13" s="1628"/>
      <c r="F13" s="1629"/>
      <c r="G13" s="1606"/>
      <c r="H13" s="1607"/>
      <c r="I13" s="1797"/>
      <c r="J13" s="1630"/>
      <c r="K13" s="1606"/>
      <c r="L13" s="1628"/>
    </row>
    <row r="14" spans="1:12" ht="11.25" customHeight="1" x14ac:dyDescent="0.25">
      <c r="A14" s="1914"/>
      <c r="B14" s="2150"/>
      <c r="C14" s="1606"/>
      <c r="D14" s="1606"/>
      <c r="E14" s="1628"/>
      <c r="F14" s="1629"/>
      <c r="G14" s="1606"/>
      <c r="H14" s="1607"/>
      <c r="I14" s="1797"/>
      <c r="J14" s="1630"/>
      <c r="K14" s="1606"/>
      <c r="L14" s="1628"/>
    </row>
    <row r="15" spans="1:12" ht="11.25" customHeight="1" x14ac:dyDescent="0.25">
      <c r="A15" s="806" t="s">
        <v>2027</v>
      </c>
      <c r="B15" s="2151"/>
      <c r="C15" s="808">
        <f>SUM(C12:C14)</f>
        <v>0</v>
      </c>
      <c r="D15" s="808">
        <f t="shared" ref="D15:L15" si="1">SUM(D12:D14)</f>
        <v>0</v>
      </c>
      <c r="E15" s="809">
        <f t="shared" si="1"/>
        <v>0</v>
      </c>
      <c r="F15" s="810">
        <f t="shared" si="1"/>
        <v>0</v>
      </c>
      <c r="G15" s="808">
        <f t="shared" si="1"/>
        <v>0</v>
      </c>
      <c r="H15" s="2220">
        <f t="shared" si="1"/>
        <v>0</v>
      </c>
      <c r="I15" s="2226">
        <f t="shared" si="1"/>
        <v>0</v>
      </c>
      <c r="J15" s="811">
        <f t="shared" si="1"/>
        <v>0</v>
      </c>
      <c r="K15" s="808">
        <f t="shared" si="1"/>
        <v>0</v>
      </c>
      <c r="L15" s="809">
        <f t="shared" si="1"/>
        <v>0</v>
      </c>
    </row>
    <row r="16" spans="1:12" x14ac:dyDescent="0.25">
      <c r="A16" s="649"/>
      <c r="B16" s="2150"/>
      <c r="C16" s="393"/>
      <c r="D16" s="393"/>
      <c r="E16" s="345"/>
      <c r="F16" s="394"/>
      <c r="G16" s="393"/>
      <c r="H16" s="2221"/>
      <c r="I16" s="2227"/>
      <c r="J16" s="395"/>
      <c r="K16" s="393"/>
      <c r="L16" s="345"/>
    </row>
    <row r="17" spans="1:12" ht="11.25" customHeight="1" x14ac:dyDescent="0.25">
      <c r="A17" s="805" t="s">
        <v>2028</v>
      </c>
      <c r="B17" s="2150"/>
      <c r="C17" s="207"/>
      <c r="D17" s="207"/>
      <c r="E17" s="264"/>
      <c r="F17" s="251"/>
      <c r="G17" s="207"/>
      <c r="H17" s="557"/>
      <c r="I17" s="1065"/>
      <c r="J17" s="210"/>
      <c r="K17" s="207"/>
      <c r="L17" s="264"/>
    </row>
    <row r="18" spans="1:12" ht="11.25" customHeight="1" x14ac:dyDescent="0.25">
      <c r="A18" s="1940" t="str">
        <f>$A$6</f>
        <v>Insert description</v>
      </c>
      <c r="B18" s="2150">
        <v>3</v>
      </c>
      <c r="C18" s="1606"/>
      <c r="D18" s="1606"/>
      <c r="E18" s="1628"/>
      <c r="F18" s="1629"/>
      <c r="G18" s="1606"/>
      <c r="H18" s="1607"/>
      <c r="I18" s="1797"/>
      <c r="J18" s="1630"/>
      <c r="K18" s="1606"/>
      <c r="L18" s="1628"/>
    </row>
    <row r="19" spans="1:12" ht="11.25" customHeight="1" x14ac:dyDescent="0.25">
      <c r="A19" s="1914"/>
      <c r="B19" s="2150"/>
      <c r="C19" s="1606"/>
      <c r="D19" s="1606"/>
      <c r="E19" s="1628"/>
      <c r="F19" s="1629"/>
      <c r="G19" s="1606"/>
      <c r="H19" s="1607"/>
      <c r="I19" s="1797"/>
      <c r="J19" s="1630"/>
      <c r="K19" s="1606"/>
      <c r="L19" s="1628"/>
    </row>
    <row r="20" spans="1:12" ht="11.25" customHeight="1" x14ac:dyDescent="0.25">
      <c r="A20" s="1914"/>
      <c r="B20" s="2150"/>
      <c r="C20" s="1606"/>
      <c r="D20" s="1606"/>
      <c r="E20" s="1628"/>
      <c r="F20" s="1629"/>
      <c r="G20" s="1606"/>
      <c r="H20" s="1607"/>
      <c r="I20" s="1797"/>
      <c r="J20" s="1630"/>
      <c r="K20" s="1606"/>
      <c r="L20" s="1628"/>
    </row>
    <row r="21" spans="1:12" ht="11.25" customHeight="1" x14ac:dyDescent="0.25">
      <c r="A21" s="806" t="s">
        <v>2029</v>
      </c>
      <c r="B21" s="2151"/>
      <c r="C21" s="808">
        <f>SUM(C18:C20)</f>
        <v>0</v>
      </c>
      <c r="D21" s="808">
        <f t="shared" ref="D21:L21" si="2">SUM(D18:D20)</f>
        <v>0</v>
      </c>
      <c r="E21" s="809">
        <f t="shared" si="2"/>
        <v>0</v>
      </c>
      <c r="F21" s="810">
        <f t="shared" si="2"/>
        <v>0</v>
      </c>
      <c r="G21" s="808">
        <f t="shared" si="2"/>
        <v>0</v>
      </c>
      <c r="H21" s="2220">
        <f t="shared" si="2"/>
        <v>0</v>
      </c>
      <c r="I21" s="2226">
        <f t="shared" si="2"/>
        <v>0</v>
      </c>
      <c r="J21" s="811">
        <f t="shared" si="2"/>
        <v>0</v>
      </c>
      <c r="K21" s="808">
        <f>SUM(K18:K20)</f>
        <v>0</v>
      </c>
      <c r="L21" s="809">
        <f t="shared" si="2"/>
        <v>0</v>
      </c>
    </row>
    <row r="22" spans="1:12" ht="11.25" customHeight="1" x14ac:dyDescent="0.25">
      <c r="A22" s="649"/>
      <c r="B22" s="2150"/>
      <c r="C22" s="393"/>
      <c r="D22" s="393"/>
      <c r="E22" s="345"/>
      <c r="F22" s="394"/>
      <c r="G22" s="393"/>
      <c r="H22" s="2221"/>
      <c r="I22" s="2227"/>
      <c r="J22" s="395"/>
      <c r="K22" s="393"/>
      <c r="L22" s="345"/>
    </row>
    <row r="23" spans="1:12" ht="11.25" customHeight="1" x14ac:dyDescent="0.25">
      <c r="A23" s="805" t="s">
        <v>2030</v>
      </c>
      <c r="B23" s="2150"/>
      <c r="C23" s="207"/>
      <c r="D23" s="207"/>
      <c r="E23" s="264"/>
      <c r="F23" s="251"/>
      <c r="G23" s="207"/>
      <c r="H23" s="557"/>
      <c r="I23" s="1065"/>
      <c r="J23" s="210"/>
      <c r="K23" s="207"/>
      <c r="L23" s="264"/>
    </row>
    <row r="24" spans="1:12" ht="11.25" customHeight="1" x14ac:dyDescent="0.25">
      <c r="A24" s="1940" t="str">
        <f>$A$6</f>
        <v>Insert description</v>
      </c>
      <c r="B24" s="2150">
        <v>4</v>
      </c>
      <c r="C24" s="1606"/>
      <c r="D24" s="1606"/>
      <c r="E24" s="1628"/>
      <c r="F24" s="1629"/>
      <c r="G24" s="1606"/>
      <c r="H24" s="1607"/>
      <c r="I24" s="1797"/>
      <c r="J24" s="1630"/>
      <c r="K24" s="1606"/>
      <c r="L24" s="1628"/>
    </row>
    <row r="25" spans="1:12" ht="11.25" customHeight="1" x14ac:dyDescent="0.25">
      <c r="A25" s="1914"/>
      <c r="B25" s="2150"/>
      <c r="C25" s="1606"/>
      <c r="D25" s="1606"/>
      <c r="E25" s="1628"/>
      <c r="F25" s="1629"/>
      <c r="G25" s="1606"/>
      <c r="H25" s="1607"/>
      <c r="I25" s="1797"/>
      <c r="J25" s="1630"/>
      <c r="K25" s="1606"/>
      <c r="L25" s="1628"/>
    </row>
    <row r="26" spans="1:12" ht="11.25" customHeight="1" x14ac:dyDescent="0.25">
      <c r="A26" s="1914"/>
      <c r="B26" s="2150"/>
      <c r="C26" s="1606"/>
      <c r="D26" s="1606"/>
      <c r="E26" s="1628"/>
      <c r="F26" s="1629"/>
      <c r="G26" s="1606"/>
      <c r="H26" s="1607"/>
      <c r="I26" s="1797"/>
      <c r="J26" s="1630"/>
      <c r="K26" s="1606"/>
      <c r="L26" s="1628"/>
    </row>
    <row r="27" spans="1:12" ht="12" customHeight="1" x14ac:dyDescent="0.25">
      <c r="A27" s="1565" t="s">
        <v>2031</v>
      </c>
      <c r="B27" s="2151"/>
      <c r="C27" s="808">
        <f>SUM(C24:C26)</f>
        <v>0</v>
      </c>
      <c r="D27" s="808">
        <f t="shared" ref="D27:L27" si="3">SUM(D24:D26)</f>
        <v>0</v>
      </c>
      <c r="E27" s="809">
        <f t="shared" si="3"/>
        <v>0</v>
      </c>
      <c r="F27" s="810">
        <f t="shared" si="3"/>
        <v>0</v>
      </c>
      <c r="G27" s="808">
        <f t="shared" si="3"/>
        <v>0</v>
      </c>
      <c r="H27" s="2220">
        <f t="shared" si="3"/>
        <v>0</v>
      </c>
      <c r="I27" s="2226">
        <f t="shared" si="3"/>
        <v>0</v>
      </c>
      <c r="J27" s="811">
        <f t="shared" si="3"/>
        <v>0</v>
      </c>
      <c r="K27" s="808">
        <f>SUM(K24:K26)</f>
        <v>0</v>
      </c>
      <c r="L27" s="809">
        <f t="shared" si="3"/>
        <v>0</v>
      </c>
    </row>
    <row r="28" spans="1:12" ht="12" customHeight="1" x14ac:dyDescent="0.25">
      <c r="A28" s="2208"/>
      <c r="B28" s="2150"/>
      <c r="C28" s="393"/>
      <c r="D28" s="393"/>
      <c r="E28" s="345"/>
      <c r="F28" s="394"/>
      <c r="G28" s="393"/>
      <c r="H28" s="2221"/>
      <c r="I28" s="2227"/>
      <c r="J28" s="395"/>
      <c r="K28" s="393"/>
      <c r="L28" s="345"/>
    </row>
    <row r="29" spans="1:12" x14ac:dyDescent="0.25">
      <c r="A29" s="805" t="s">
        <v>2032</v>
      </c>
      <c r="B29" s="2150"/>
      <c r="C29" s="207"/>
      <c r="D29" s="207"/>
      <c r="E29" s="264"/>
      <c r="F29" s="251"/>
      <c r="G29" s="207"/>
      <c r="H29" s="557"/>
      <c r="I29" s="1065"/>
      <c r="J29" s="210"/>
      <c r="K29" s="207"/>
      <c r="L29" s="264"/>
    </row>
    <row r="30" spans="1:12" ht="11.25" customHeight="1" x14ac:dyDescent="0.25">
      <c r="A30" s="1940" t="s">
        <v>2624</v>
      </c>
      <c r="B30" s="2150">
        <v>5</v>
      </c>
      <c r="C30" s="1606">
        <v>0</v>
      </c>
      <c r="D30" s="1606"/>
      <c r="E30" s="1628"/>
      <c r="F30" s="1629">
        <v>2500000</v>
      </c>
      <c r="G30" s="1606">
        <v>1135119</v>
      </c>
      <c r="H30" s="1607">
        <v>1135119</v>
      </c>
      <c r="I30" s="1797">
        <v>1135119</v>
      </c>
      <c r="J30" s="1630"/>
      <c r="K30" s="1606"/>
      <c r="L30" s="1628"/>
    </row>
    <row r="31" spans="1:12" ht="11.25" customHeight="1" x14ac:dyDescent="0.25">
      <c r="A31" s="1914" t="s">
        <v>2625</v>
      </c>
      <c r="B31" s="2150"/>
      <c r="C31" s="1606">
        <v>0</v>
      </c>
      <c r="D31" s="1606"/>
      <c r="E31" s="1628"/>
      <c r="F31" s="1629">
        <v>13376543.648256002</v>
      </c>
      <c r="G31" s="1606">
        <v>14078618.268256001</v>
      </c>
      <c r="H31" s="1607">
        <v>14078618.268256001</v>
      </c>
      <c r="I31" s="1797">
        <v>6525101</v>
      </c>
      <c r="J31" s="1630"/>
      <c r="K31" s="1606"/>
      <c r="L31" s="1628"/>
    </row>
    <row r="32" spans="1:12" ht="11.25" customHeight="1" x14ac:dyDescent="0.25">
      <c r="A32" s="1914" t="s">
        <v>2626</v>
      </c>
      <c r="B32" s="2150"/>
      <c r="C32" s="1606">
        <v>1740432</v>
      </c>
      <c r="D32" s="1606"/>
      <c r="E32" s="1628"/>
      <c r="F32" s="1629">
        <v>4224000</v>
      </c>
      <c r="G32" s="1606">
        <v>4010500</v>
      </c>
      <c r="H32" s="1607">
        <v>4010500</v>
      </c>
      <c r="I32" s="1797">
        <v>1810500</v>
      </c>
      <c r="J32" s="1630"/>
      <c r="K32" s="1606"/>
      <c r="L32" s="1628"/>
    </row>
    <row r="33" spans="1:16" ht="11.25" customHeight="1" x14ac:dyDescent="0.25">
      <c r="A33" s="1565" t="s">
        <v>2033</v>
      </c>
      <c r="B33" s="2151"/>
      <c r="C33" s="808">
        <f>SUM(C30:C32)</f>
        <v>1740432</v>
      </c>
      <c r="D33" s="808">
        <f t="shared" ref="D33:L33" si="4">SUM(D30:D32)</f>
        <v>0</v>
      </c>
      <c r="E33" s="809">
        <f t="shared" si="4"/>
        <v>0</v>
      </c>
      <c r="F33" s="810">
        <f>SUM(F30:F32)</f>
        <v>20100543.648256004</v>
      </c>
      <c r="G33" s="808">
        <f t="shared" si="4"/>
        <v>19224237.268256001</v>
      </c>
      <c r="H33" s="2220">
        <f>SUM(H30:H32)</f>
        <v>19224237.268256001</v>
      </c>
      <c r="I33" s="2226">
        <f>SUM(I30:I32)</f>
        <v>9470720</v>
      </c>
      <c r="J33" s="811">
        <f t="shared" si="4"/>
        <v>0</v>
      </c>
      <c r="K33" s="808">
        <f>SUM(K30:K32)</f>
        <v>0</v>
      </c>
      <c r="L33" s="809">
        <f t="shared" si="4"/>
        <v>0</v>
      </c>
    </row>
    <row r="34" spans="1:16" ht="15" customHeight="1" x14ac:dyDescent="0.25">
      <c r="A34" s="813" t="s">
        <v>2024</v>
      </c>
      <c r="B34" s="2152">
        <v>6</v>
      </c>
      <c r="C34" s="227">
        <f t="shared" ref="C34:L34" si="5">C9+C15+C21+C27+C33</f>
        <v>1740432</v>
      </c>
      <c r="D34" s="227">
        <f t="shared" si="5"/>
        <v>0</v>
      </c>
      <c r="E34" s="352">
        <f t="shared" si="5"/>
        <v>0</v>
      </c>
      <c r="F34" s="353">
        <f t="shared" si="5"/>
        <v>20100543.648256004</v>
      </c>
      <c r="G34" s="227">
        <f t="shared" si="5"/>
        <v>19224237.268256001</v>
      </c>
      <c r="H34" s="2222">
        <f t="shared" si="5"/>
        <v>19224237.268256001</v>
      </c>
      <c r="I34" s="2228">
        <f t="shared" si="5"/>
        <v>9470720</v>
      </c>
      <c r="J34" s="226">
        <f t="shared" si="5"/>
        <v>0</v>
      </c>
      <c r="K34" s="227">
        <f t="shared" si="5"/>
        <v>0</v>
      </c>
      <c r="L34" s="352">
        <f t="shared" si="5"/>
        <v>0</v>
      </c>
    </row>
    <row r="35" spans="1:16" ht="7.5" customHeight="1" x14ac:dyDescent="0.25">
      <c r="A35" s="2211"/>
      <c r="B35" s="2212"/>
      <c r="C35" s="2213"/>
      <c r="D35" s="2213"/>
      <c r="E35" s="2213"/>
      <c r="F35" s="2213"/>
      <c r="G35" s="2213"/>
      <c r="H35" s="2213"/>
      <c r="I35" s="2229"/>
      <c r="J35" s="2213"/>
      <c r="K35" s="2213"/>
      <c r="L35" s="2213"/>
    </row>
    <row r="36" spans="1:16" ht="11.25" customHeight="1" x14ac:dyDescent="0.25">
      <c r="A36" s="892" t="s">
        <v>2139</v>
      </c>
      <c r="B36" s="2214"/>
      <c r="C36" s="425"/>
      <c r="D36" s="425"/>
      <c r="E36" s="2215"/>
      <c r="F36" s="2216"/>
      <c r="G36" s="425"/>
      <c r="H36" s="2223"/>
      <c r="I36" s="2230"/>
      <c r="J36" s="2217"/>
      <c r="K36" s="425"/>
      <c r="L36" s="2215"/>
    </row>
    <row r="37" spans="1:16" ht="11.25" customHeight="1" x14ac:dyDescent="0.25">
      <c r="A37" s="1940" t="s">
        <v>2627</v>
      </c>
      <c r="B37" s="2148">
        <v>1</v>
      </c>
      <c r="C37" s="1606"/>
      <c r="D37" s="1606"/>
      <c r="E37" s="1628">
        <v>2842000</v>
      </c>
      <c r="F37" s="1629"/>
      <c r="G37" s="1606"/>
      <c r="H37" s="1607"/>
      <c r="I37" s="1797"/>
      <c r="J37" s="1630"/>
      <c r="K37" s="1606"/>
      <c r="L37" s="1628"/>
    </row>
    <row r="38" spans="1:16" ht="11.25" customHeight="1" x14ac:dyDescent="0.25">
      <c r="A38" s="1941"/>
      <c r="B38" s="2148"/>
      <c r="C38" s="1606"/>
      <c r="D38" s="1606"/>
      <c r="E38" s="1628"/>
      <c r="F38" s="1629"/>
      <c r="G38" s="1606"/>
      <c r="H38" s="1607"/>
      <c r="I38" s="1797"/>
      <c r="J38" s="1630"/>
      <c r="K38" s="1606"/>
      <c r="L38" s="1628"/>
      <c r="P38" s="369"/>
    </row>
    <row r="39" spans="1:16" ht="11.25" customHeight="1" x14ac:dyDescent="0.25">
      <c r="A39" s="1941"/>
      <c r="B39" s="2148"/>
      <c r="C39" s="1606"/>
      <c r="D39" s="1606"/>
      <c r="E39" s="1628"/>
      <c r="F39" s="1629"/>
      <c r="G39" s="1606"/>
      <c r="H39" s="1607"/>
      <c r="I39" s="1797"/>
      <c r="J39" s="1630"/>
      <c r="K39" s="1606"/>
      <c r="L39" s="1628"/>
    </row>
    <row r="40" spans="1:16" ht="11.25" customHeight="1" x14ac:dyDescent="0.25">
      <c r="A40" s="792" t="s">
        <v>2140</v>
      </c>
      <c r="B40" s="2149"/>
      <c r="C40" s="276">
        <f>SUM(C37:C39)</f>
        <v>0</v>
      </c>
      <c r="D40" s="276">
        <f t="shared" ref="D40:L40" si="6">SUM(D37:D39)</f>
        <v>0</v>
      </c>
      <c r="E40" s="277">
        <f t="shared" si="6"/>
        <v>2842000</v>
      </c>
      <c r="F40" s="278">
        <f t="shared" si="6"/>
        <v>0</v>
      </c>
      <c r="G40" s="276">
        <f t="shared" si="6"/>
        <v>0</v>
      </c>
      <c r="H40" s="2219">
        <f t="shared" si="6"/>
        <v>0</v>
      </c>
      <c r="I40" s="2225">
        <f t="shared" si="6"/>
        <v>0</v>
      </c>
      <c r="J40" s="275">
        <f t="shared" si="6"/>
        <v>0</v>
      </c>
      <c r="K40" s="276">
        <f t="shared" si="6"/>
        <v>0</v>
      </c>
      <c r="L40" s="277">
        <f t="shared" si="6"/>
        <v>0</v>
      </c>
    </row>
    <row r="41" spans="1:16" ht="11.25" customHeight="1" x14ac:dyDescent="0.25">
      <c r="A41" s="273"/>
      <c r="B41" s="2148"/>
      <c r="C41" s="203"/>
      <c r="D41" s="203"/>
      <c r="E41" s="204"/>
      <c r="F41" s="205"/>
      <c r="G41" s="203"/>
      <c r="H41" s="2218"/>
      <c r="I41" s="585"/>
      <c r="J41" s="202"/>
      <c r="K41" s="203"/>
      <c r="L41" s="204"/>
    </row>
    <row r="42" spans="1:16" ht="11.25" customHeight="1" x14ac:dyDescent="0.25">
      <c r="A42" s="805" t="s">
        <v>2141</v>
      </c>
      <c r="B42" s="2150"/>
      <c r="C42" s="207"/>
      <c r="D42" s="207"/>
      <c r="E42" s="264"/>
      <c r="F42" s="251"/>
      <c r="G42" s="207"/>
      <c r="H42" s="557"/>
      <c r="I42" s="1065"/>
      <c r="J42" s="210"/>
      <c r="K42" s="207"/>
      <c r="L42" s="264"/>
    </row>
    <row r="43" spans="1:16" ht="11.25" customHeight="1" x14ac:dyDescent="0.25">
      <c r="A43" s="1940" t="str">
        <f>$A$6</f>
        <v>Insert description</v>
      </c>
      <c r="B43" s="2150">
        <v>2</v>
      </c>
      <c r="C43" s="1606"/>
      <c r="D43" s="1606"/>
      <c r="E43" s="1628"/>
      <c r="F43" s="1629"/>
      <c r="G43" s="1606"/>
      <c r="H43" s="1607"/>
      <c r="I43" s="1797"/>
      <c r="J43" s="1630"/>
      <c r="K43" s="1606"/>
      <c r="L43" s="1628"/>
    </row>
    <row r="44" spans="1:16" ht="11.25" customHeight="1" x14ac:dyDescent="0.25">
      <c r="A44" s="1914"/>
      <c r="B44" s="2150"/>
      <c r="C44" s="1606"/>
      <c r="D44" s="1606"/>
      <c r="E44" s="1628"/>
      <c r="F44" s="1629"/>
      <c r="G44" s="1606"/>
      <c r="H44" s="1607"/>
      <c r="I44" s="1797"/>
      <c r="J44" s="1630"/>
      <c r="K44" s="1606"/>
      <c r="L44" s="1628"/>
    </row>
    <row r="45" spans="1:16" ht="11.25" customHeight="1" x14ac:dyDescent="0.25">
      <c r="A45" s="1914"/>
      <c r="B45" s="2150"/>
      <c r="C45" s="1606"/>
      <c r="D45" s="1606"/>
      <c r="E45" s="1628"/>
      <c r="F45" s="1629"/>
      <c r="G45" s="1606"/>
      <c r="H45" s="1607"/>
      <c r="I45" s="1797"/>
      <c r="J45" s="1630"/>
      <c r="K45" s="1606"/>
      <c r="L45" s="1628"/>
    </row>
    <row r="46" spans="1:16" ht="11.25" customHeight="1" x14ac:dyDescent="0.25">
      <c r="A46" s="806" t="s">
        <v>2142</v>
      </c>
      <c r="B46" s="2151"/>
      <c r="C46" s="808">
        <f>SUM(C43:C45)</f>
        <v>0</v>
      </c>
      <c r="D46" s="808">
        <f t="shared" ref="D46:L46" si="7">SUM(D43:D45)</f>
        <v>0</v>
      </c>
      <c r="E46" s="809">
        <f t="shared" si="7"/>
        <v>0</v>
      </c>
      <c r="F46" s="810">
        <f t="shared" si="7"/>
        <v>0</v>
      </c>
      <c r="G46" s="808">
        <f t="shared" si="7"/>
        <v>0</v>
      </c>
      <c r="H46" s="2220">
        <f t="shared" si="7"/>
        <v>0</v>
      </c>
      <c r="I46" s="2226">
        <f t="shared" si="7"/>
        <v>0</v>
      </c>
      <c r="J46" s="811">
        <f t="shared" si="7"/>
        <v>0</v>
      </c>
      <c r="K46" s="808">
        <f t="shared" si="7"/>
        <v>0</v>
      </c>
      <c r="L46" s="809">
        <f t="shared" si="7"/>
        <v>0</v>
      </c>
    </row>
    <row r="47" spans="1:16" ht="11.25" customHeight="1" x14ac:dyDescent="0.25">
      <c r="A47" s="649"/>
      <c r="B47" s="2150"/>
      <c r="C47" s="393"/>
      <c r="D47" s="393"/>
      <c r="E47" s="345"/>
      <c r="F47" s="394"/>
      <c r="G47" s="393"/>
      <c r="H47" s="2221"/>
      <c r="I47" s="2227"/>
      <c r="J47" s="395"/>
      <c r="K47" s="393"/>
      <c r="L47" s="345"/>
    </row>
    <row r="48" spans="1:16" ht="11.25" customHeight="1" x14ac:dyDescent="0.25">
      <c r="A48" s="805" t="s">
        <v>2143</v>
      </c>
      <c r="B48" s="2150"/>
      <c r="C48" s="207"/>
      <c r="D48" s="207"/>
      <c r="E48" s="264"/>
      <c r="F48" s="251"/>
      <c r="G48" s="207"/>
      <c r="H48" s="557"/>
      <c r="I48" s="1065"/>
      <c r="J48" s="210"/>
      <c r="K48" s="207"/>
      <c r="L48" s="264"/>
    </row>
    <row r="49" spans="1:12" ht="11.25" customHeight="1" x14ac:dyDescent="0.25">
      <c r="A49" s="1940" t="str">
        <f>$A$6</f>
        <v>Insert description</v>
      </c>
      <c r="B49" s="2150">
        <v>3</v>
      </c>
      <c r="C49" s="1606"/>
      <c r="D49" s="1606"/>
      <c r="E49" s="1628"/>
      <c r="F49" s="1629"/>
      <c r="G49" s="1606"/>
      <c r="H49" s="1607"/>
      <c r="I49" s="1797"/>
      <c r="J49" s="1630"/>
      <c r="K49" s="1606"/>
      <c r="L49" s="1628"/>
    </row>
    <row r="50" spans="1:12" ht="11.25" customHeight="1" x14ac:dyDescent="0.25">
      <c r="A50" s="1914"/>
      <c r="B50" s="2150"/>
      <c r="C50" s="1606"/>
      <c r="D50" s="1606"/>
      <c r="E50" s="1628"/>
      <c r="F50" s="1629"/>
      <c r="G50" s="1606"/>
      <c r="H50" s="1607"/>
      <c r="I50" s="1797"/>
      <c r="J50" s="1630"/>
      <c r="K50" s="1606"/>
      <c r="L50" s="1628"/>
    </row>
    <row r="51" spans="1:12" ht="11.25" customHeight="1" x14ac:dyDescent="0.25">
      <c r="A51" s="1914"/>
      <c r="B51" s="2150"/>
      <c r="C51" s="1606"/>
      <c r="D51" s="1606"/>
      <c r="E51" s="1628"/>
      <c r="F51" s="1629"/>
      <c r="G51" s="1606"/>
      <c r="H51" s="1607"/>
      <c r="I51" s="1797"/>
      <c r="J51" s="1630"/>
      <c r="K51" s="1606"/>
      <c r="L51" s="1628"/>
    </row>
    <row r="52" spans="1:12" ht="11.25" customHeight="1" x14ac:dyDescent="0.25">
      <c r="A52" s="806" t="s">
        <v>2144</v>
      </c>
      <c r="B52" s="2151"/>
      <c r="C52" s="808">
        <f>SUM(C49:C51)</f>
        <v>0</v>
      </c>
      <c r="D52" s="808">
        <f t="shared" ref="D52:J52" si="8">SUM(D49:D51)</f>
        <v>0</v>
      </c>
      <c r="E52" s="809">
        <f t="shared" si="8"/>
        <v>0</v>
      </c>
      <c r="F52" s="810">
        <f t="shared" si="8"/>
        <v>0</v>
      </c>
      <c r="G52" s="808">
        <f t="shared" si="8"/>
        <v>0</v>
      </c>
      <c r="H52" s="2220">
        <f t="shared" si="8"/>
        <v>0</v>
      </c>
      <c r="I52" s="2226">
        <f t="shared" si="8"/>
        <v>0</v>
      </c>
      <c r="J52" s="811">
        <f t="shared" si="8"/>
        <v>0</v>
      </c>
      <c r="K52" s="808">
        <f>SUM(K49:K51)</f>
        <v>0</v>
      </c>
      <c r="L52" s="809">
        <f>SUM(L49:L51)</f>
        <v>0</v>
      </c>
    </row>
    <row r="53" spans="1:12" ht="11.25" customHeight="1" x14ac:dyDescent="0.25">
      <c r="A53" s="649"/>
      <c r="B53" s="2150"/>
      <c r="C53" s="393"/>
      <c r="D53" s="393"/>
      <c r="E53" s="345"/>
      <c r="F53" s="394"/>
      <c r="G53" s="393"/>
      <c r="H53" s="2221"/>
      <c r="I53" s="2227"/>
      <c r="J53" s="395"/>
      <c r="K53" s="393"/>
      <c r="L53" s="345"/>
    </row>
    <row r="54" spans="1:12" ht="11.25" customHeight="1" x14ac:dyDescent="0.25">
      <c r="A54" s="805" t="s">
        <v>2145</v>
      </c>
      <c r="B54" s="2150"/>
      <c r="C54" s="207"/>
      <c r="D54" s="207"/>
      <c r="E54" s="264"/>
      <c r="F54" s="251"/>
      <c r="G54" s="207"/>
      <c r="H54" s="557"/>
      <c r="I54" s="1065"/>
      <c r="J54" s="210"/>
      <c r="K54" s="207"/>
      <c r="L54" s="264"/>
    </row>
    <row r="55" spans="1:12" ht="11.25" customHeight="1" x14ac:dyDescent="0.25">
      <c r="A55" s="1940" t="str">
        <f>$A$6</f>
        <v>Insert description</v>
      </c>
      <c r="B55" s="2150">
        <v>4</v>
      </c>
      <c r="C55" s="1606"/>
      <c r="D55" s="1606"/>
      <c r="E55" s="1628"/>
      <c r="F55" s="1629"/>
      <c r="G55" s="1606"/>
      <c r="H55" s="1607"/>
      <c r="I55" s="1797"/>
      <c r="J55" s="1630"/>
      <c r="K55" s="1606"/>
      <c r="L55" s="1628"/>
    </row>
    <row r="56" spans="1:12" ht="11.25" customHeight="1" x14ac:dyDescent="0.25">
      <c r="A56" s="1914"/>
      <c r="B56" s="2150"/>
      <c r="C56" s="1606"/>
      <c r="D56" s="1606"/>
      <c r="E56" s="1628"/>
      <c r="F56" s="1629"/>
      <c r="G56" s="1606"/>
      <c r="H56" s="1607"/>
      <c r="I56" s="1797"/>
      <c r="J56" s="1630"/>
      <c r="K56" s="1606"/>
      <c r="L56" s="1628"/>
    </row>
    <row r="57" spans="1:12" ht="11.25" customHeight="1" x14ac:dyDescent="0.25">
      <c r="A57" s="1914"/>
      <c r="B57" s="2150"/>
      <c r="C57" s="1606"/>
      <c r="D57" s="1606"/>
      <c r="E57" s="1628"/>
      <c r="F57" s="1629"/>
      <c r="G57" s="1606"/>
      <c r="H57" s="1607"/>
      <c r="I57" s="1797"/>
      <c r="J57" s="1630"/>
      <c r="K57" s="1606"/>
      <c r="L57" s="1628"/>
    </row>
    <row r="58" spans="1:12" ht="11.25" customHeight="1" x14ac:dyDescent="0.25">
      <c r="A58" s="1565" t="s">
        <v>2146</v>
      </c>
      <c r="B58" s="2151"/>
      <c r="C58" s="808">
        <f>SUM(C55:C57)</f>
        <v>0</v>
      </c>
      <c r="D58" s="808">
        <f t="shared" ref="D58:J58" si="9">SUM(D55:D57)</f>
        <v>0</v>
      </c>
      <c r="E58" s="809">
        <f t="shared" si="9"/>
        <v>0</v>
      </c>
      <c r="F58" s="810">
        <f t="shared" si="9"/>
        <v>0</v>
      </c>
      <c r="G58" s="808">
        <f t="shared" si="9"/>
        <v>0</v>
      </c>
      <c r="H58" s="2220">
        <f t="shared" si="9"/>
        <v>0</v>
      </c>
      <c r="I58" s="2226">
        <f t="shared" si="9"/>
        <v>0</v>
      </c>
      <c r="J58" s="811">
        <f t="shared" si="9"/>
        <v>0</v>
      </c>
      <c r="K58" s="808">
        <f>SUM(K55:K57)</f>
        <v>0</v>
      </c>
      <c r="L58" s="809">
        <f>SUM(L55:L57)</f>
        <v>0</v>
      </c>
    </row>
    <row r="59" spans="1:12" ht="11.25" customHeight="1" x14ac:dyDescent="0.25">
      <c r="A59" s="2208"/>
      <c r="B59" s="2150"/>
      <c r="C59" s="393"/>
      <c r="D59" s="393"/>
      <c r="E59" s="345"/>
      <c r="F59" s="394"/>
      <c r="G59" s="393"/>
      <c r="H59" s="2221"/>
      <c r="I59" s="2227"/>
      <c r="J59" s="395"/>
      <c r="K59" s="393"/>
      <c r="L59" s="345"/>
    </row>
    <row r="60" spans="1:12" ht="11.25" customHeight="1" x14ac:dyDescent="0.25">
      <c r="A60" s="805" t="s">
        <v>2020</v>
      </c>
      <c r="B60" s="2150"/>
      <c r="C60" s="207"/>
      <c r="D60" s="207"/>
      <c r="E60" s="264"/>
      <c r="F60" s="251"/>
      <c r="G60" s="207"/>
      <c r="H60" s="557"/>
      <c r="I60" s="1065"/>
      <c r="J60" s="210"/>
      <c r="K60" s="207"/>
      <c r="L60" s="264"/>
    </row>
    <row r="61" spans="1:12" ht="11.25" customHeight="1" x14ac:dyDescent="0.25">
      <c r="A61" s="1940" t="s">
        <v>2624</v>
      </c>
      <c r="B61" s="2150">
        <v>5</v>
      </c>
      <c r="C61" s="1606"/>
      <c r="D61" s="1606"/>
      <c r="E61" s="1628"/>
      <c r="F61" s="1629"/>
      <c r="G61" s="1606"/>
      <c r="H61" s="1607"/>
      <c r="I61" s="1797"/>
      <c r="J61" s="1630">
        <v>0</v>
      </c>
      <c r="K61" s="1606">
        <v>0</v>
      </c>
      <c r="L61" s="1628">
        <v>0</v>
      </c>
    </row>
    <row r="62" spans="1:12" ht="11.25" customHeight="1" x14ac:dyDescent="0.25">
      <c r="A62" s="1914" t="s">
        <v>2625</v>
      </c>
      <c r="B62" s="2150"/>
      <c r="C62" s="1606"/>
      <c r="D62" s="1606"/>
      <c r="E62" s="1628"/>
      <c r="F62" s="1629"/>
      <c r="G62" s="1606"/>
      <c r="H62" s="1607"/>
      <c r="I62" s="1797"/>
      <c r="J62" s="1630">
        <v>14261640</v>
      </c>
      <c r="K62" s="1606">
        <v>15103076.76</v>
      </c>
      <c r="L62" s="1628">
        <v>15948849.058560001</v>
      </c>
    </row>
    <row r="63" spans="1:12" ht="11.25" customHeight="1" x14ac:dyDescent="0.25">
      <c r="A63" s="1914" t="s">
        <v>2626</v>
      </c>
      <c r="B63" s="2150"/>
      <c r="C63" s="1606"/>
      <c r="D63" s="1606"/>
      <c r="E63" s="1628"/>
      <c r="F63" s="1629"/>
      <c r="G63" s="1606"/>
      <c r="H63" s="1607"/>
      <c r="I63" s="1797"/>
      <c r="J63" s="1630">
        <v>4300000</v>
      </c>
      <c r="K63" s="1606">
        <v>4553700</v>
      </c>
      <c r="L63" s="1628">
        <v>4808707.2</v>
      </c>
    </row>
    <row r="64" spans="1:12" ht="11.25" customHeight="1" x14ac:dyDescent="0.25">
      <c r="A64" s="1565" t="s">
        <v>2147</v>
      </c>
      <c r="B64" s="2151"/>
      <c r="C64" s="808">
        <f t="shared" ref="C64:L64" si="10">SUM(C61:C63)</f>
        <v>0</v>
      </c>
      <c r="D64" s="808">
        <f t="shared" si="10"/>
        <v>0</v>
      </c>
      <c r="E64" s="809">
        <f t="shared" si="10"/>
        <v>0</v>
      </c>
      <c r="F64" s="810">
        <f t="shared" si="10"/>
        <v>0</v>
      </c>
      <c r="G64" s="808">
        <f t="shared" si="10"/>
        <v>0</v>
      </c>
      <c r="H64" s="2220">
        <f t="shared" si="10"/>
        <v>0</v>
      </c>
      <c r="I64" s="2226">
        <f t="shared" si="10"/>
        <v>0</v>
      </c>
      <c r="J64" s="811">
        <f t="shared" si="10"/>
        <v>18561640</v>
      </c>
      <c r="K64" s="808">
        <f t="shared" si="10"/>
        <v>19656776.759999998</v>
      </c>
      <c r="L64" s="809">
        <f t="shared" si="10"/>
        <v>20757556.258560002</v>
      </c>
    </row>
    <row r="65" spans="1:12" ht="15" customHeight="1" x14ac:dyDescent="0.25">
      <c r="A65" s="813" t="s">
        <v>2148</v>
      </c>
      <c r="B65" s="2152"/>
      <c r="C65" s="227">
        <f t="shared" ref="C65:L65" si="11">C40+C46+C52+C58+C64</f>
        <v>0</v>
      </c>
      <c r="D65" s="227">
        <f t="shared" si="11"/>
        <v>0</v>
      </c>
      <c r="E65" s="352">
        <f t="shared" si="11"/>
        <v>2842000</v>
      </c>
      <c r="F65" s="353">
        <f t="shared" si="11"/>
        <v>0</v>
      </c>
      <c r="G65" s="227">
        <f t="shared" si="11"/>
        <v>0</v>
      </c>
      <c r="H65" s="2222">
        <f t="shared" si="11"/>
        <v>0</v>
      </c>
      <c r="I65" s="2228">
        <f t="shared" si="11"/>
        <v>0</v>
      </c>
      <c r="J65" s="226">
        <f t="shared" si="11"/>
        <v>18561640</v>
      </c>
      <c r="K65" s="227">
        <f t="shared" si="11"/>
        <v>19656776.759999998</v>
      </c>
      <c r="L65" s="352">
        <f t="shared" si="11"/>
        <v>20757556.258560002</v>
      </c>
    </row>
    <row r="66" spans="1:12" ht="15" customHeight="1" x14ac:dyDescent="0.25">
      <c r="A66" s="813" t="s">
        <v>310</v>
      </c>
      <c r="B66" s="2152">
        <v>6</v>
      </c>
      <c r="C66" s="227">
        <f>C34+C65</f>
        <v>1740432</v>
      </c>
      <c r="D66" s="227">
        <f t="shared" ref="D66:L66" si="12">D34+D65</f>
        <v>0</v>
      </c>
      <c r="E66" s="352">
        <f t="shared" si="12"/>
        <v>2842000</v>
      </c>
      <c r="F66" s="353">
        <f t="shared" si="12"/>
        <v>20100543.648256004</v>
      </c>
      <c r="G66" s="227">
        <f t="shared" si="12"/>
        <v>19224237.268256001</v>
      </c>
      <c r="H66" s="2222">
        <f t="shared" si="12"/>
        <v>19224237.268256001</v>
      </c>
      <c r="I66" s="2228">
        <f t="shared" si="12"/>
        <v>9470720</v>
      </c>
      <c r="J66" s="226">
        <f t="shared" si="12"/>
        <v>18561640</v>
      </c>
      <c r="K66" s="227">
        <f t="shared" si="12"/>
        <v>19656776.759999998</v>
      </c>
      <c r="L66" s="352">
        <f t="shared" si="12"/>
        <v>20757556.258560002</v>
      </c>
    </row>
    <row r="67" spans="1:12" ht="11.25" customHeight="1" x14ac:dyDescent="0.25">
      <c r="A67" s="235" t="str">
        <f>head27a</f>
        <v>References</v>
      </c>
      <c r="B67" s="236"/>
      <c r="C67" s="241"/>
      <c r="D67" s="241"/>
      <c r="E67" s="241"/>
      <c r="F67" s="241"/>
      <c r="G67" s="241"/>
      <c r="H67" s="241"/>
      <c r="I67" s="241"/>
      <c r="J67" s="241"/>
      <c r="K67" s="241"/>
      <c r="L67" s="241"/>
    </row>
    <row r="68" spans="1:12" x14ac:dyDescent="0.25">
      <c r="A68" s="242" t="s">
        <v>1325</v>
      </c>
    </row>
    <row r="69" spans="1:12" x14ac:dyDescent="0.25">
      <c r="A69" s="242" t="s">
        <v>1282</v>
      </c>
    </row>
    <row r="70" spans="1:12" x14ac:dyDescent="0.25">
      <c r="A70" s="242" t="s">
        <v>1382</v>
      </c>
    </row>
    <row r="71" spans="1:12" x14ac:dyDescent="0.25">
      <c r="A71" s="242" t="s">
        <v>1715</v>
      </c>
    </row>
    <row r="72" spans="1:12" x14ac:dyDescent="0.25">
      <c r="A72" s="242" t="s">
        <v>2022</v>
      </c>
    </row>
    <row r="73" spans="1:12" x14ac:dyDescent="0.25">
      <c r="A73" s="242" t="s">
        <v>2021</v>
      </c>
    </row>
  </sheetData>
  <sheetProtection sheet="1" objects="1" scenarios="1"/>
  <customSheetViews>
    <customSheetView guid="{F50C5479-5CC4-4FD7-8319-543D29E829F0}" showGridLines="0" fitToPage="1" topLeftCell="A17">
      <selection activeCell="A38" sqref="A38:A39"/>
      <pageMargins left="0" right="0" top="0.78740157480314965" bottom="0.59055118110236227" header="0.51181102362204722" footer="0.39370078740157483"/>
      <printOptions horizontalCentered="1"/>
      <pageSetup paperSize="9" scale="78" orientation="portrait" r:id="rId1"/>
      <headerFooter alignWithMargins="0"/>
    </customSheetView>
  </customSheetViews>
  <mergeCells count="2">
    <mergeCell ref="J2:L2"/>
    <mergeCell ref="F2:I2"/>
  </mergeCells>
  <phoneticPr fontId="2" type="noConversion"/>
  <printOptions horizontalCentered="1"/>
  <pageMargins left="0" right="0" top="0.78740157480314965" bottom="0.59055118110236227" header="0.51181102362204722" footer="0.39370078740157483"/>
  <pageSetup paperSize="9" scale="70" orientation="portrait" r:id="rId2"/>
  <headerFooter alignWithMargins="0"/>
  <ignoredErrors>
    <ignoredError sqref="A12 A18 A24 A43 A49 A55" unlocked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indexed="42"/>
  </sheetPr>
  <dimension ref="A1:O196"/>
  <sheetViews>
    <sheetView showGridLines="0" zoomScaleNormal="100" workbookViewId="0">
      <pane xSplit="2" ySplit="4" topLeftCell="C5" activePane="bottomRight" state="frozen"/>
      <selection activeCell="F35" sqref="F35"/>
      <selection pane="topRight" activeCell="F35" sqref="F35"/>
      <selection pane="bottomLeft" activeCell="F35" sqref="F35"/>
      <selection pane="bottomRight" activeCell="I23" sqref="I23"/>
    </sheetView>
  </sheetViews>
  <sheetFormatPr defaultRowHeight="12.75" x14ac:dyDescent="0.25"/>
  <cols>
    <col min="1" max="1" width="30.7109375" style="149" customWidth="1"/>
    <col min="2" max="2" width="3" style="247" customWidth="1"/>
    <col min="3" max="11" width="9.2851562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"&amp;TableA22</f>
        <v>MP315 Thembisile Hani - Supporting Table SA22 Summary councillor and staff benefits</v>
      </c>
      <c r="B1" s="147"/>
      <c r="C1" s="147"/>
      <c r="D1" s="147"/>
      <c r="E1" s="147"/>
      <c r="F1" s="147"/>
      <c r="G1" s="147"/>
      <c r="H1" s="147"/>
      <c r="I1" s="147"/>
      <c r="J1" s="147"/>
      <c r="K1" s="147"/>
    </row>
    <row r="2" spans="1:12" ht="28.5" customHeight="1" x14ac:dyDescent="0.25">
      <c r="A2" s="980" t="s">
        <v>1629</v>
      </c>
      <c r="B2" s="418" t="str">
        <f>head27</f>
        <v>Ref</v>
      </c>
      <c r="C2" s="150" t="str">
        <f>head1b</f>
        <v>2011/12</v>
      </c>
      <c r="D2" s="751" t="str">
        <f>head1A</f>
        <v>2012/13</v>
      </c>
      <c r="E2" s="146" t="str">
        <f>Head1</f>
        <v>2013/14</v>
      </c>
      <c r="F2" s="2766" t="str">
        <f>Head2</f>
        <v>Current Year 2014/15</v>
      </c>
      <c r="G2" s="2767"/>
      <c r="H2" s="2771"/>
      <c r="I2" s="2764" t="str">
        <f>Head3</f>
        <v>2015/16 Medium Term Revenue &amp; Expenditure Framework</v>
      </c>
      <c r="J2" s="2764"/>
      <c r="K2" s="2765"/>
    </row>
    <row r="3" spans="1:12" ht="25.5" x14ac:dyDescent="0.25">
      <c r="A3" s="180" t="s">
        <v>662</v>
      </c>
      <c r="B3" s="985"/>
      <c r="C3" s="389" t="str">
        <f>Head5</f>
        <v>Audited Outcome</v>
      </c>
      <c r="D3" s="994" t="str">
        <f>Head5</f>
        <v>Audited Outcome</v>
      </c>
      <c r="E3" s="390" t="str">
        <f>Head5</f>
        <v>Audited Outcome</v>
      </c>
      <c r="F3" s="299" t="str">
        <f>Head6</f>
        <v>Original Budget</v>
      </c>
      <c r="G3" s="389" t="str">
        <f>Head7</f>
        <v>Adjusted Budget</v>
      </c>
      <c r="H3" s="390" t="str">
        <f>Head8</f>
        <v>Full Year Forecast</v>
      </c>
      <c r="I3" s="388" t="str">
        <f>Head9</f>
        <v>Budget Year 2015/16</v>
      </c>
      <c r="J3" s="389" t="str">
        <f>Head10</f>
        <v>Budget Year +1 2016/17</v>
      </c>
      <c r="K3" s="390" t="str">
        <f>Head11</f>
        <v>Budget Year +2 2017/18</v>
      </c>
    </row>
    <row r="4" spans="1:12" x14ac:dyDescent="0.25">
      <c r="A4" s="249"/>
      <c r="B4" s="182">
        <v>1</v>
      </c>
      <c r="C4" s="182" t="s">
        <v>406</v>
      </c>
      <c r="D4" s="182" t="s">
        <v>1327</v>
      </c>
      <c r="E4" s="815" t="s">
        <v>495</v>
      </c>
      <c r="F4" s="816" t="s">
        <v>544</v>
      </c>
      <c r="G4" s="182" t="s">
        <v>1539</v>
      </c>
      <c r="H4" s="815" t="s">
        <v>1540</v>
      </c>
      <c r="I4" s="651" t="s">
        <v>1541</v>
      </c>
      <c r="J4" s="182" t="s">
        <v>557</v>
      </c>
      <c r="K4" s="815" t="s">
        <v>558</v>
      </c>
    </row>
    <row r="5" spans="1:12" ht="11.25" customHeight="1" x14ac:dyDescent="0.25">
      <c r="A5" s="249" t="s">
        <v>758</v>
      </c>
      <c r="B5" s="182"/>
      <c r="C5" s="203"/>
      <c r="D5" s="203"/>
      <c r="E5" s="204"/>
      <c r="F5" s="205"/>
      <c r="G5" s="203"/>
      <c r="H5" s="204"/>
      <c r="I5" s="202"/>
      <c r="J5" s="203"/>
      <c r="K5" s="204"/>
    </row>
    <row r="6" spans="1:12" ht="11.25" customHeight="1" x14ac:dyDescent="0.25">
      <c r="A6" s="250" t="s">
        <v>1292</v>
      </c>
      <c r="B6" s="182"/>
      <c r="C6" s="1606"/>
      <c r="D6" s="1606">
        <v>1816581</v>
      </c>
      <c r="E6" s="1628">
        <v>2857913.19</v>
      </c>
      <c r="F6" s="1629">
        <v>3349381</v>
      </c>
      <c r="G6" s="1606">
        <v>3349381</v>
      </c>
      <c r="H6" s="1628">
        <v>3349381</v>
      </c>
      <c r="I6" s="1630">
        <v>3293645.1</v>
      </c>
      <c r="J6" s="1606">
        <f>I6*1.059</f>
        <v>3487970.1609</v>
      </c>
      <c r="K6" s="1628">
        <f>J6*1.056</f>
        <v>3683296.4899104</v>
      </c>
    </row>
    <row r="7" spans="1:12" ht="11.25" customHeight="1" x14ac:dyDescent="0.25">
      <c r="A7" s="250" t="s">
        <v>2039</v>
      </c>
      <c r="B7" s="182"/>
      <c r="C7" s="1606"/>
      <c r="D7" s="1606">
        <v>1329044</v>
      </c>
      <c r="E7" s="1628">
        <v>1574551.4</v>
      </c>
      <c r="F7" s="1629">
        <v>1533955</v>
      </c>
      <c r="G7" s="1606">
        <v>1750000</v>
      </c>
      <c r="H7" s="1628">
        <v>1750000</v>
      </c>
      <c r="I7" s="1630">
        <v>1800000</v>
      </c>
      <c r="J7" s="1606">
        <f t="shared" ref="J7:J12" si="0">I7*1.059</f>
        <v>1906200</v>
      </c>
      <c r="K7" s="1628">
        <f t="shared" ref="K7:K12" si="1">J7*1.056</f>
        <v>2012947.2000000002</v>
      </c>
    </row>
    <row r="8" spans="1:12" ht="11.25" customHeight="1" x14ac:dyDescent="0.25">
      <c r="A8" s="250" t="s">
        <v>759</v>
      </c>
      <c r="B8" s="182"/>
      <c r="C8" s="1606"/>
      <c r="D8" s="1606">
        <v>223301</v>
      </c>
      <c r="E8" s="1628">
        <v>239161.91</v>
      </c>
      <c r="F8" s="1629">
        <v>264475</v>
      </c>
      <c r="G8" s="1606">
        <v>264475</v>
      </c>
      <c r="H8" s="1628">
        <v>264475</v>
      </c>
      <c r="I8" s="1630">
        <v>279814.55</v>
      </c>
      <c r="J8" s="1606">
        <f t="shared" si="0"/>
        <v>296323.60845</v>
      </c>
      <c r="K8" s="1628">
        <f t="shared" si="1"/>
        <v>312917.73052320001</v>
      </c>
    </row>
    <row r="9" spans="1:12" ht="11.25" customHeight="1" x14ac:dyDescent="0.25">
      <c r="A9" s="250" t="s">
        <v>2193</v>
      </c>
      <c r="B9" s="182"/>
      <c r="C9" s="1606"/>
      <c r="D9" s="1606">
        <v>3674942</v>
      </c>
      <c r="E9" s="1628">
        <v>3934224.29</v>
      </c>
      <c r="F9" s="1629">
        <v>2962120</v>
      </c>
      <c r="G9" s="1606">
        <v>3119516.98</v>
      </c>
      <c r="H9" s="1628">
        <v>3119516.98</v>
      </c>
      <c r="I9" s="1630">
        <v>3473316.93</v>
      </c>
      <c r="J9" s="1606">
        <f t="shared" si="0"/>
        <v>3678242.6288700001</v>
      </c>
      <c r="K9" s="1628">
        <f t="shared" si="1"/>
        <v>3884224.2160867201</v>
      </c>
      <c r="L9" s="369"/>
    </row>
    <row r="10" spans="1:12" ht="11.25" customHeight="1" x14ac:dyDescent="0.25">
      <c r="A10" s="190" t="s">
        <v>2040</v>
      </c>
      <c r="B10" s="182"/>
      <c r="C10" s="1606"/>
      <c r="D10" s="1606">
        <v>840086</v>
      </c>
      <c r="E10" s="1628">
        <v>1327932</v>
      </c>
      <c r="F10" s="1629">
        <v>1412880</v>
      </c>
      <c r="G10" s="1606">
        <v>1496312.24</v>
      </c>
      <c r="H10" s="1628">
        <v>1496312.24</v>
      </c>
      <c r="I10" s="1630">
        <v>1494827.04</v>
      </c>
      <c r="J10" s="1606">
        <f t="shared" si="0"/>
        <v>1583021.8353599999</v>
      </c>
      <c r="K10" s="1628">
        <f t="shared" si="1"/>
        <v>1671671.0581401601</v>
      </c>
      <c r="L10" s="369"/>
    </row>
    <row r="11" spans="1:12" ht="11.25" customHeight="1" x14ac:dyDescent="0.25">
      <c r="A11" s="190" t="s">
        <v>2194</v>
      </c>
      <c r="B11" s="182"/>
      <c r="C11" s="1606"/>
      <c r="D11" s="1606"/>
      <c r="E11" s="1628">
        <v>0</v>
      </c>
      <c r="F11" s="1629">
        <v>0</v>
      </c>
      <c r="G11" s="1606">
        <v>0</v>
      </c>
      <c r="H11" s="1628">
        <v>0</v>
      </c>
      <c r="I11" s="1630"/>
      <c r="J11" s="1606">
        <f t="shared" si="0"/>
        <v>0</v>
      </c>
      <c r="K11" s="1628">
        <f t="shared" si="1"/>
        <v>0</v>
      </c>
      <c r="L11" s="369"/>
    </row>
    <row r="12" spans="1:12" ht="11.25" customHeight="1" x14ac:dyDescent="0.25">
      <c r="A12" s="190" t="s">
        <v>1524</v>
      </c>
      <c r="B12" s="182"/>
      <c r="C12" s="1606"/>
      <c r="D12" s="1606">
        <v>8000983</v>
      </c>
      <c r="E12" s="1628">
        <v>7902475.6299999999</v>
      </c>
      <c r="F12" s="1629">
        <v>9568909</v>
      </c>
      <c r="G12" s="1606">
        <v>8374003.8600000003</v>
      </c>
      <c r="H12" s="1628">
        <v>8374003.8600000003</v>
      </c>
      <c r="I12" s="1630">
        <v>8120895.9000000004</v>
      </c>
      <c r="J12" s="1606">
        <f t="shared" si="0"/>
        <v>8600028.7580999993</v>
      </c>
      <c r="K12" s="1628">
        <f t="shared" si="1"/>
        <v>9081630.3685535993</v>
      </c>
      <c r="L12" s="369"/>
    </row>
    <row r="13" spans="1:12" ht="11.25" customHeight="1" x14ac:dyDescent="0.25">
      <c r="A13" s="265" t="s">
        <v>760</v>
      </c>
      <c r="B13" s="182"/>
      <c r="C13" s="267">
        <f t="shared" ref="C13:K13" si="2">SUM(C6:C12)</f>
        <v>0</v>
      </c>
      <c r="D13" s="213">
        <f t="shared" si="2"/>
        <v>15884937</v>
      </c>
      <c r="E13" s="214">
        <f t="shared" si="2"/>
        <v>17836258.419999998</v>
      </c>
      <c r="F13" s="215">
        <f t="shared" si="2"/>
        <v>19091720</v>
      </c>
      <c r="G13" s="213">
        <f t="shared" si="2"/>
        <v>18353689.080000002</v>
      </c>
      <c r="H13" s="214">
        <f t="shared" si="2"/>
        <v>18353689.080000002</v>
      </c>
      <c r="I13" s="212">
        <f t="shared" si="2"/>
        <v>18462499.520000003</v>
      </c>
      <c r="J13" s="213">
        <f t="shared" si="2"/>
        <v>19551786.99168</v>
      </c>
      <c r="K13" s="214">
        <f t="shared" si="2"/>
        <v>20646687.063214079</v>
      </c>
      <c r="L13" s="369"/>
    </row>
    <row r="14" spans="1:12" ht="11.25" customHeight="1" x14ac:dyDescent="0.25">
      <c r="A14" s="372" t="s">
        <v>920</v>
      </c>
      <c r="B14" s="182">
        <v>4</v>
      </c>
      <c r="C14" s="817"/>
      <c r="D14" s="818">
        <f>IF(ISERROR((D13/C13)-1),0,((D13/C13)-1))</f>
        <v>0</v>
      </c>
      <c r="E14" s="853">
        <f t="shared" ref="E14:K14" si="3">IF(ISERROR((E13/D13)-1),0,((E13/D13)-1))</f>
        <v>0.12284099206688692</v>
      </c>
      <c r="F14" s="1180">
        <f t="shared" si="3"/>
        <v>7.0388169448825533E-2</v>
      </c>
      <c r="G14" s="818">
        <f t="shared" si="3"/>
        <v>-3.8657120468978068E-2</v>
      </c>
      <c r="H14" s="853">
        <f t="shared" si="3"/>
        <v>0</v>
      </c>
      <c r="I14" s="1180">
        <f t="shared" si="3"/>
        <v>5.9285323798239364E-3</v>
      </c>
      <c r="J14" s="818">
        <f t="shared" si="3"/>
        <v>5.8999999999999719E-2</v>
      </c>
      <c r="K14" s="853">
        <f t="shared" si="3"/>
        <v>5.5999999999999828E-2</v>
      </c>
      <c r="L14" s="369"/>
    </row>
    <row r="15" spans="1:12" ht="5.0999999999999996" customHeight="1" x14ac:dyDescent="0.25">
      <c r="A15" s="273"/>
      <c r="B15" s="182"/>
      <c r="C15" s="516"/>
      <c r="D15" s="402"/>
      <c r="E15" s="195"/>
      <c r="F15" s="399"/>
      <c r="G15" s="402"/>
      <c r="H15" s="195"/>
      <c r="I15" s="309"/>
      <c r="J15" s="402"/>
      <c r="K15" s="195"/>
      <c r="L15" s="369"/>
    </row>
    <row r="16" spans="1:12" ht="11.25" customHeight="1" x14ac:dyDescent="0.25">
      <c r="A16" s="249" t="s">
        <v>1291</v>
      </c>
      <c r="B16" s="182">
        <v>2</v>
      </c>
      <c r="C16" s="207"/>
      <c r="D16" s="203"/>
      <c r="E16" s="204"/>
      <c r="F16" s="205"/>
      <c r="G16" s="203"/>
      <c r="H16" s="204"/>
      <c r="I16" s="202"/>
      <c r="J16" s="203"/>
      <c r="K16" s="204"/>
      <c r="L16" s="369"/>
    </row>
    <row r="17" spans="1:12" ht="11.25" customHeight="1" x14ac:dyDescent="0.25">
      <c r="A17" s="190" t="s">
        <v>1292</v>
      </c>
      <c r="B17" s="182"/>
      <c r="C17" s="1606"/>
      <c r="D17" s="1606">
        <v>4111650</v>
      </c>
      <c r="E17" s="1628">
        <v>4157767</v>
      </c>
      <c r="F17" s="1629">
        <v>5709254</v>
      </c>
      <c r="G17" s="1606">
        <v>5309606</v>
      </c>
      <c r="H17" s="1628">
        <v>5309606</v>
      </c>
      <c r="I17" s="1630">
        <v>4472242.3112000003</v>
      </c>
      <c r="J17" s="1606">
        <f>I17*1.059</f>
        <v>4736104.6075608004</v>
      </c>
      <c r="K17" s="1628">
        <f>J17*1.056</f>
        <v>5001326.4655842055</v>
      </c>
      <c r="L17" s="369"/>
    </row>
    <row r="18" spans="1:12" ht="11.25" customHeight="1" x14ac:dyDescent="0.25">
      <c r="A18" s="190" t="s">
        <v>2039</v>
      </c>
      <c r="B18" s="182"/>
      <c r="C18" s="1606"/>
      <c r="D18" s="1606">
        <v>0</v>
      </c>
      <c r="E18" s="1628">
        <v>0</v>
      </c>
      <c r="F18" s="1629">
        <v>0</v>
      </c>
      <c r="G18" s="1606">
        <v>0</v>
      </c>
      <c r="H18" s="1628">
        <v>0</v>
      </c>
      <c r="I18" s="1630">
        <v>0</v>
      </c>
      <c r="J18" s="1606">
        <f t="shared" ref="J18:J28" si="4">I18*1.059</f>
        <v>0</v>
      </c>
      <c r="K18" s="1628">
        <f t="shared" ref="K18:K28" si="5">J18*1.056</f>
        <v>0</v>
      </c>
      <c r="L18" s="369"/>
    </row>
    <row r="19" spans="1:12" ht="11.25" customHeight="1" x14ac:dyDescent="0.25">
      <c r="A19" s="190" t="s">
        <v>759</v>
      </c>
      <c r="B19" s="182"/>
      <c r="C19" s="1606"/>
      <c r="D19" s="1606">
        <v>0</v>
      </c>
      <c r="E19" s="1628">
        <v>138659</v>
      </c>
      <c r="F19" s="1629">
        <v>0</v>
      </c>
      <c r="G19" s="1606">
        <v>0</v>
      </c>
      <c r="H19" s="1628">
        <v>0</v>
      </c>
      <c r="I19" s="1630">
        <v>0</v>
      </c>
      <c r="J19" s="1606">
        <f t="shared" si="4"/>
        <v>0</v>
      </c>
      <c r="K19" s="1628">
        <f t="shared" si="5"/>
        <v>0</v>
      </c>
      <c r="L19" s="369"/>
    </row>
    <row r="20" spans="1:12" ht="11.25" customHeight="1" x14ac:dyDescent="0.25">
      <c r="A20" s="190" t="s">
        <v>1083</v>
      </c>
      <c r="B20" s="182"/>
      <c r="C20" s="1606"/>
      <c r="D20" s="1606">
        <v>0</v>
      </c>
      <c r="E20" s="1628">
        <v>0</v>
      </c>
      <c r="F20" s="1629">
        <v>0</v>
      </c>
      <c r="G20" s="1606">
        <v>0</v>
      </c>
      <c r="H20" s="1628">
        <v>0</v>
      </c>
      <c r="I20" s="1630">
        <v>0</v>
      </c>
      <c r="J20" s="1606">
        <f t="shared" si="4"/>
        <v>0</v>
      </c>
      <c r="K20" s="1628">
        <f t="shared" si="5"/>
        <v>0</v>
      </c>
      <c r="L20" s="369"/>
    </row>
    <row r="21" spans="1:12" ht="11.25" customHeight="1" x14ac:dyDescent="0.25">
      <c r="A21" s="190" t="s">
        <v>761</v>
      </c>
      <c r="B21" s="182"/>
      <c r="C21" s="1606"/>
      <c r="D21" s="1606">
        <v>240000</v>
      </c>
      <c r="E21" s="1628">
        <v>0</v>
      </c>
      <c r="F21" s="1629">
        <v>550746</v>
      </c>
      <c r="G21" s="1606">
        <v>0</v>
      </c>
      <c r="H21" s="1628">
        <v>0</v>
      </c>
      <c r="I21" s="1630">
        <v>0</v>
      </c>
      <c r="J21" s="1606">
        <f t="shared" si="4"/>
        <v>0</v>
      </c>
      <c r="K21" s="1628">
        <f t="shared" si="5"/>
        <v>0</v>
      </c>
      <c r="L21" s="369"/>
    </row>
    <row r="22" spans="1:12" ht="11.25" customHeight="1" x14ac:dyDescent="0.25">
      <c r="A22" s="190" t="s">
        <v>2193</v>
      </c>
      <c r="B22" s="182">
        <v>3</v>
      </c>
      <c r="C22" s="1606"/>
      <c r="D22" s="1606">
        <v>624000</v>
      </c>
      <c r="E22" s="1628">
        <v>480000</v>
      </c>
      <c r="F22" s="1629">
        <v>0</v>
      </c>
      <c r="G22" s="1606">
        <v>0</v>
      </c>
      <c r="H22" s="1628">
        <v>0</v>
      </c>
      <c r="I22" s="1630">
        <v>0</v>
      </c>
      <c r="J22" s="1606">
        <f t="shared" si="4"/>
        <v>0</v>
      </c>
      <c r="K22" s="1628">
        <f t="shared" si="5"/>
        <v>0</v>
      </c>
      <c r="L22" s="369"/>
    </row>
    <row r="23" spans="1:12" ht="11.25" customHeight="1" x14ac:dyDescent="0.25">
      <c r="A23" s="190" t="s">
        <v>2040</v>
      </c>
      <c r="B23" s="182">
        <v>3</v>
      </c>
      <c r="C23" s="1606"/>
      <c r="D23" s="1606">
        <v>0</v>
      </c>
      <c r="E23" s="1628">
        <v>0</v>
      </c>
      <c r="F23" s="1629">
        <v>87000</v>
      </c>
      <c r="G23" s="1606">
        <v>87000</v>
      </c>
      <c r="H23" s="1628">
        <v>87000</v>
      </c>
      <c r="I23" s="1630">
        <v>87000</v>
      </c>
      <c r="J23" s="1606">
        <f t="shared" si="4"/>
        <v>92133</v>
      </c>
      <c r="K23" s="1628">
        <f t="shared" si="5"/>
        <v>97292.448000000004</v>
      </c>
      <c r="L23" s="369"/>
    </row>
    <row r="24" spans="1:12" ht="11.25" customHeight="1" x14ac:dyDescent="0.25">
      <c r="A24" s="190" t="s">
        <v>2194</v>
      </c>
      <c r="B24" s="182">
        <v>3</v>
      </c>
      <c r="C24" s="1606"/>
      <c r="D24" s="1606">
        <v>0</v>
      </c>
      <c r="E24" s="1628">
        <v>0</v>
      </c>
      <c r="F24" s="1629">
        <v>0</v>
      </c>
      <c r="G24" s="1606">
        <v>0</v>
      </c>
      <c r="H24" s="1628">
        <v>0</v>
      </c>
      <c r="I24" s="1630">
        <v>0</v>
      </c>
      <c r="J24" s="1606">
        <f t="shared" si="4"/>
        <v>0</v>
      </c>
      <c r="K24" s="1628">
        <f t="shared" si="5"/>
        <v>0</v>
      </c>
      <c r="L24" s="369"/>
    </row>
    <row r="25" spans="1:12" ht="11.25" customHeight="1" x14ac:dyDescent="0.25">
      <c r="A25" s="190" t="s">
        <v>1524</v>
      </c>
      <c r="B25" s="182">
        <v>3</v>
      </c>
      <c r="C25" s="1606"/>
      <c r="D25" s="1606">
        <v>0</v>
      </c>
      <c r="E25" s="1628">
        <v>68619</v>
      </c>
      <c r="F25" s="1629">
        <v>0</v>
      </c>
      <c r="G25" s="1606">
        <v>0</v>
      </c>
      <c r="H25" s="1628">
        <v>0</v>
      </c>
      <c r="I25" s="1630">
        <v>0</v>
      </c>
      <c r="J25" s="1606">
        <f t="shared" si="4"/>
        <v>0</v>
      </c>
      <c r="K25" s="1628">
        <f t="shared" si="5"/>
        <v>0</v>
      </c>
      <c r="L25" s="369"/>
    </row>
    <row r="26" spans="1:12" ht="11.25" customHeight="1" x14ac:dyDescent="0.25">
      <c r="A26" s="190" t="s">
        <v>1652</v>
      </c>
      <c r="B26" s="182"/>
      <c r="C26" s="1606"/>
      <c r="D26" s="1606">
        <v>0</v>
      </c>
      <c r="E26" s="1628">
        <v>0</v>
      </c>
      <c r="F26" s="1629">
        <v>0</v>
      </c>
      <c r="G26" s="1606">
        <v>0</v>
      </c>
      <c r="H26" s="1628">
        <v>0</v>
      </c>
      <c r="I26" s="1630">
        <v>0</v>
      </c>
      <c r="J26" s="1606">
        <f t="shared" si="4"/>
        <v>0</v>
      </c>
      <c r="K26" s="1628">
        <f t="shared" si="5"/>
        <v>0</v>
      </c>
      <c r="L26" s="369"/>
    </row>
    <row r="27" spans="1:12" ht="11.25" customHeight="1" x14ac:dyDescent="0.25">
      <c r="A27" s="190" t="s">
        <v>1084</v>
      </c>
      <c r="B27" s="182"/>
      <c r="C27" s="1606"/>
      <c r="D27" s="1606">
        <v>0</v>
      </c>
      <c r="E27" s="1628">
        <v>0</v>
      </c>
      <c r="F27" s="1629">
        <v>0</v>
      </c>
      <c r="G27" s="1606">
        <v>0</v>
      </c>
      <c r="H27" s="1628">
        <v>0</v>
      </c>
      <c r="I27" s="1630">
        <v>0</v>
      </c>
      <c r="J27" s="1606">
        <f t="shared" si="4"/>
        <v>0</v>
      </c>
      <c r="K27" s="1628">
        <f t="shared" si="5"/>
        <v>0</v>
      </c>
      <c r="L27" s="369"/>
    </row>
    <row r="28" spans="1:12" ht="11.25" customHeight="1" x14ac:dyDescent="0.25">
      <c r="A28" s="190" t="s">
        <v>1653</v>
      </c>
      <c r="B28" s="182">
        <v>6</v>
      </c>
      <c r="C28" s="1606"/>
      <c r="D28" s="1606">
        <v>0</v>
      </c>
      <c r="E28" s="1628">
        <v>0</v>
      </c>
      <c r="F28" s="1629">
        <v>0</v>
      </c>
      <c r="G28" s="1606">
        <v>0</v>
      </c>
      <c r="H28" s="1628">
        <v>0</v>
      </c>
      <c r="I28" s="1630">
        <v>0</v>
      </c>
      <c r="J28" s="1606">
        <f t="shared" si="4"/>
        <v>0</v>
      </c>
      <c r="K28" s="1628">
        <f t="shared" si="5"/>
        <v>0</v>
      </c>
      <c r="L28" s="369"/>
    </row>
    <row r="29" spans="1:12" ht="11.25" customHeight="1" x14ac:dyDescent="0.25">
      <c r="A29" s="265" t="s">
        <v>762</v>
      </c>
      <c r="B29" s="182"/>
      <c r="C29" s="267">
        <f>SUM(C17:C28)</f>
        <v>0</v>
      </c>
      <c r="D29" s="213">
        <f t="shared" ref="D29:K29" si="6">SUM(D17:D28)</f>
        <v>4975650</v>
      </c>
      <c r="E29" s="214">
        <f t="shared" si="6"/>
        <v>4845045</v>
      </c>
      <c r="F29" s="215">
        <f t="shared" si="6"/>
        <v>6347000</v>
      </c>
      <c r="G29" s="213">
        <f t="shared" si="6"/>
        <v>5396606</v>
      </c>
      <c r="H29" s="214">
        <f t="shared" si="6"/>
        <v>5396606</v>
      </c>
      <c r="I29" s="212">
        <f t="shared" si="6"/>
        <v>4559242.3112000003</v>
      </c>
      <c r="J29" s="213">
        <f t="shared" si="6"/>
        <v>4828237.6075608004</v>
      </c>
      <c r="K29" s="214">
        <f t="shared" si="6"/>
        <v>5098618.9135842053</v>
      </c>
      <c r="L29" s="369"/>
    </row>
    <row r="30" spans="1:12" ht="11.25" customHeight="1" x14ac:dyDescent="0.25">
      <c r="A30" s="372" t="str">
        <f>$A$14</f>
        <v>% increase</v>
      </c>
      <c r="B30" s="182">
        <f>$B$14</f>
        <v>4</v>
      </c>
      <c r="C30" s="817"/>
      <c r="D30" s="818">
        <f>IF(ISERROR((D29/C29)-1),0,((D29/C29)-1))</f>
        <v>0</v>
      </c>
      <c r="E30" s="819">
        <f t="shared" ref="E30:K30" si="7">IF(ISERROR((E29/D29)-1),0,((E29/D29)-1))</f>
        <v>-2.6248831810919193E-2</v>
      </c>
      <c r="F30" s="820">
        <f t="shared" si="7"/>
        <v>0.30999815275193532</v>
      </c>
      <c r="G30" s="818">
        <f t="shared" si="7"/>
        <v>-0.14973908933354341</v>
      </c>
      <c r="H30" s="819">
        <f t="shared" si="7"/>
        <v>0</v>
      </c>
      <c r="I30" s="821">
        <f t="shared" si="7"/>
        <v>-0.15516487377436849</v>
      </c>
      <c r="J30" s="818">
        <f t="shared" si="7"/>
        <v>5.8999999999999941E-2</v>
      </c>
      <c r="K30" s="819">
        <f t="shared" si="7"/>
        <v>5.600000000000005E-2</v>
      </c>
      <c r="L30" s="369"/>
    </row>
    <row r="31" spans="1:12" ht="5.0999999999999996" customHeight="1" x14ac:dyDescent="0.25">
      <c r="A31" s="273"/>
      <c r="B31" s="182"/>
      <c r="C31" s="516"/>
      <c r="D31" s="402"/>
      <c r="E31" s="195"/>
      <c r="F31" s="399"/>
      <c r="G31" s="402"/>
      <c r="H31" s="195"/>
      <c r="I31" s="309"/>
      <c r="J31" s="402"/>
      <c r="K31" s="195"/>
      <c r="L31" s="369"/>
    </row>
    <row r="32" spans="1:12" ht="11.25" customHeight="1" x14ac:dyDescent="0.25">
      <c r="A32" s="249" t="s">
        <v>763</v>
      </c>
      <c r="B32" s="182"/>
      <c r="C32" s="207"/>
      <c r="D32" s="203"/>
      <c r="E32" s="204"/>
      <c r="F32" s="205"/>
      <c r="G32" s="203"/>
      <c r="H32" s="204"/>
      <c r="I32" s="202"/>
      <c r="J32" s="203"/>
      <c r="K32" s="204"/>
      <c r="L32" s="369"/>
    </row>
    <row r="33" spans="1:15" ht="11.25" customHeight="1" x14ac:dyDescent="0.25">
      <c r="A33" s="250" t="s">
        <v>1292</v>
      </c>
      <c r="B33" s="182"/>
      <c r="C33" s="1606"/>
      <c r="D33" s="1606">
        <v>52415304</v>
      </c>
      <c r="E33" s="1628">
        <v>62058486</v>
      </c>
      <c r="F33" s="1629">
        <v>70617301</v>
      </c>
      <c r="G33" s="1606">
        <v>65375703</v>
      </c>
      <c r="H33" s="1628">
        <v>65375703</v>
      </c>
      <c r="I33" s="1630">
        <v>71887067.688800007</v>
      </c>
      <c r="J33" s="1606">
        <f>I33*1.059</f>
        <v>76128404.682439208</v>
      </c>
      <c r="K33" s="1628">
        <f>J33*1.056</f>
        <v>80391595.344655812</v>
      </c>
      <c r="L33" s="369"/>
    </row>
    <row r="34" spans="1:15" ht="11.25" customHeight="1" x14ac:dyDescent="0.25">
      <c r="A34" s="250" t="s">
        <v>2039</v>
      </c>
      <c r="B34" s="182"/>
      <c r="C34" s="1606"/>
      <c r="D34" s="1606">
        <v>10239582</v>
      </c>
      <c r="E34" s="1628">
        <v>12890455</v>
      </c>
      <c r="F34" s="1629">
        <v>12060839</v>
      </c>
      <c r="G34" s="1606">
        <v>13602221.620000001</v>
      </c>
      <c r="H34" s="1628">
        <v>13602221.620000001</v>
      </c>
      <c r="I34" s="1630">
        <v>14974295</v>
      </c>
      <c r="J34" s="1606">
        <f t="shared" ref="J34:J42" si="8">I34*1.059</f>
        <v>15857778.404999999</v>
      </c>
      <c r="K34" s="1628">
        <f t="shared" ref="K34:K42" si="9">J34*1.056</f>
        <v>16745813.995680001</v>
      </c>
      <c r="L34" s="369"/>
    </row>
    <row r="35" spans="1:15" ht="11.25" customHeight="1" x14ac:dyDescent="0.25">
      <c r="A35" s="250" t="s">
        <v>759</v>
      </c>
      <c r="B35" s="182"/>
      <c r="C35" s="1606"/>
      <c r="D35" s="1606">
        <v>2904706</v>
      </c>
      <c r="E35" s="1628">
        <v>3859541</v>
      </c>
      <c r="F35" s="1629">
        <v>3554342</v>
      </c>
      <c r="G35" s="1606">
        <v>4848355</v>
      </c>
      <c r="H35" s="1628">
        <v>4848355</v>
      </c>
      <c r="I35" s="1630">
        <v>5733230</v>
      </c>
      <c r="J35" s="1606">
        <f t="shared" si="8"/>
        <v>6071490.5699999994</v>
      </c>
      <c r="K35" s="1628">
        <f t="shared" si="9"/>
        <v>6411494.0419199998</v>
      </c>
      <c r="L35" s="369"/>
    </row>
    <row r="36" spans="1:15" ht="11.25" customHeight="1" x14ac:dyDescent="0.25">
      <c r="A36" s="250" t="s">
        <v>1083</v>
      </c>
      <c r="B36" s="182"/>
      <c r="C36" s="1606"/>
      <c r="D36" s="1606">
        <v>3456144</v>
      </c>
      <c r="E36" s="1628">
        <v>3218485</v>
      </c>
      <c r="F36" s="1629">
        <v>150000</v>
      </c>
      <c r="G36" s="1606">
        <v>100000</v>
      </c>
      <c r="H36" s="1628">
        <v>100000</v>
      </c>
      <c r="I36" s="1630">
        <v>0</v>
      </c>
      <c r="J36" s="1606">
        <f t="shared" si="8"/>
        <v>0</v>
      </c>
      <c r="K36" s="1628">
        <f t="shared" si="9"/>
        <v>0</v>
      </c>
      <c r="L36" s="369"/>
    </row>
    <row r="37" spans="1:15" ht="11.25" customHeight="1" x14ac:dyDescent="0.25">
      <c r="A37" s="250" t="s">
        <v>761</v>
      </c>
      <c r="B37" s="182"/>
      <c r="C37" s="1606"/>
      <c r="D37" s="1606">
        <v>6128913</v>
      </c>
      <c r="E37" s="1628">
        <v>4986352</v>
      </c>
      <c r="F37" s="1629">
        <v>4965237</v>
      </c>
      <c r="G37" s="1606">
        <v>4980468.97</v>
      </c>
      <c r="H37" s="1628">
        <v>4980468.97</v>
      </c>
      <c r="I37" s="1630">
        <v>0</v>
      </c>
      <c r="J37" s="1606">
        <f t="shared" si="8"/>
        <v>0</v>
      </c>
      <c r="K37" s="1628">
        <f t="shared" si="9"/>
        <v>0</v>
      </c>
      <c r="L37" s="369"/>
    </row>
    <row r="38" spans="1:15" ht="11.25" customHeight="1" x14ac:dyDescent="0.25">
      <c r="A38" s="250" t="s">
        <v>2193</v>
      </c>
      <c r="B38" s="182">
        <v>3</v>
      </c>
      <c r="C38" s="1606"/>
      <c r="D38" s="1606">
        <v>2936741</v>
      </c>
      <c r="E38" s="1628">
        <v>1963885</v>
      </c>
      <c r="F38" s="1629">
        <v>1797256</v>
      </c>
      <c r="G38" s="1606">
        <v>1956500</v>
      </c>
      <c r="H38" s="1628">
        <v>1956500</v>
      </c>
      <c r="I38" s="1630">
        <v>2073678</v>
      </c>
      <c r="J38" s="1606">
        <f t="shared" si="8"/>
        <v>2196025.0019999999</v>
      </c>
      <c r="K38" s="1628">
        <f t="shared" si="9"/>
        <v>2319002.4021120002</v>
      </c>
      <c r="L38" s="369"/>
    </row>
    <row r="39" spans="1:15" ht="11.25" customHeight="1" x14ac:dyDescent="0.25">
      <c r="A39" s="250" t="s">
        <v>2040</v>
      </c>
      <c r="B39" s="182">
        <v>3</v>
      </c>
      <c r="C39" s="1606"/>
      <c r="D39" s="1606">
        <v>322650</v>
      </c>
      <c r="E39" s="1628">
        <v>164131</v>
      </c>
      <c r="F39" s="1629">
        <v>274721</v>
      </c>
      <c r="G39" s="1606">
        <v>643450</v>
      </c>
      <c r="H39" s="1628">
        <v>643450</v>
      </c>
      <c r="I39" s="1630">
        <v>344400</v>
      </c>
      <c r="J39" s="1606">
        <f t="shared" si="8"/>
        <v>364719.6</v>
      </c>
      <c r="K39" s="1628">
        <f t="shared" si="9"/>
        <v>385143.89759999997</v>
      </c>
      <c r="L39" s="369"/>
      <c r="O39" s="369"/>
    </row>
    <row r="40" spans="1:15" ht="11.25" customHeight="1" x14ac:dyDescent="0.25">
      <c r="A40" s="250" t="s">
        <v>2194</v>
      </c>
      <c r="B40" s="182">
        <v>3</v>
      </c>
      <c r="C40" s="1606"/>
      <c r="D40" s="1606">
        <v>98422</v>
      </c>
      <c r="E40" s="1628">
        <v>86097</v>
      </c>
      <c r="F40" s="1629">
        <v>98519</v>
      </c>
      <c r="G40" s="1606">
        <v>97700</v>
      </c>
      <c r="H40" s="1628">
        <v>97700</v>
      </c>
      <c r="I40" s="1630">
        <v>55212</v>
      </c>
      <c r="J40" s="1606">
        <f t="shared" si="8"/>
        <v>58469.507999999994</v>
      </c>
      <c r="K40" s="1628">
        <f t="shared" si="9"/>
        <v>61743.800447999995</v>
      </c>
      <c r="L40" s="369"/>
      <c r="O40" s="369"/>
    </row>
    <row r="41" spans="1:15" ht="11.25" customHeight="1" x14ac:dyDescent="0.25">
      <c r="A41" s="250" t="s">
        <v>1524</v>
      </c>
      <c r="B41" s="182">
        <v>3</v>
      </c>
      <c r="C41" s="1606"/>
      <c r="D41" s="1606">
        <v>3204485</v>
      </c>
      <c r="E41" s="1628">
        <v>1734711</v>
      </c>
      <c r="F41" s="1629">
        <v>1095580</v>
      </c>
      <c r="G41" s="1606">
        <v>2352075.16</v>
      </c>
      <c r="H41" s="1628">
        <v>2352075.16</v>
      </c>
      <c r="I41" s="1630">
        <v>7448885.1200000001</v>
      </c>
      <c r="J41" s="1606">
        <v>7726405.3591105621</v>
      </c>
      <c r="K41" s="1628">
        <v>8159084.0592207536</v>
      </c>
      <c r="L41" s="369"/>
      <c r="O41" s="369"/>
    </row>
    <row r="42" spans="1:15" ht="11.25" customHeight="1" x14ac:dyDescent="0.25">
      <c r="A42" s="250" t="s">
        <v>1652</v>
      </c>
      <c r="B42" s="182"/>
      <c r="C42" s="1606"/>
      <c r="D42" s="1606">
        <v>1219442</v>
      </c>
      <c r="E42" s="1628"/>
      <c r="F42" s="1629">
        <v>75000</v>
      </c>
      <c r="G42" s="1606">
        <v>250000</v>
      </c>
      <c r="H42" s="1628">
        <v>250000</v>
      </c>
      <c r="I42" s="1630">
        <v>264500</v>
      </c>
      <c r="J42" s="1606">
        <f t="shared" si="8"/>
        <v>280105.5</v>
      </c>
      <c r="K42" s="1628">
        <f t="shared" si="9"/>
        <v>295791.408</v>
      </c>
      <c r="L42" s="369"/>
    </row>
    <row r="43" spans="1:15" ht="11.25" customHeight="1" x14ac:dyDescent="0.25">
      <c r="A43" s="250" t="s">
        <v>1084</v>
      </c>
      <c r="B43" s="182"/>
      <c r="C43" s="1606"/>
      <c r="D43" s="1606"/>
      <c r="E43" s="1628">
        <v>990000</v>
      </c>
      <c r="F43" s="1629"/>
      <c r="G43" s="1606">
        <v>0</v>
      </c>
      <c r="H43" s="1628">
        <v>0</v>
      </c>
      <c r="I43" s="1630"/>
      <c r="J43" s="1606"/>
      <c r="K43" s="1628"/>
      <c r="L43" s="369"/>
    </row>
    <row r="44" spans="1:15" ht="11.25" customHeight="1" x14ac:dyDescent="0.25">
      <c r="A44" s="250" t="s">
        <v>1653</v>
      </c>
      <c r="B44" s="182">
        <v>6</v>
      </c>
      <c r="C44" s="1606"/>
      <c r="D44" s="1606"/>
      <c r="E44" s="1628"/>
      <c r="F44" s="1629"/>
      <c r="G44" s="1606"/>
      <c r="H44" s="1628"/>
      <c r="I44" s="1630"/>
      <c r="J44" s="1606"/>
      <c r="K44" s="1628"/>
      <c r="L44" s="369"/>
    </row>
    <row r="45" spans="1:15" ht="11.25" customHeight="1" x14ac:dyDescent="0.25">
      <c r="A45" s="265" t="s">
        <v>1796</v>
      </c>
      <c r="B45" s="182"/>
      <c r="C45" s="213">
        <f t="shared" ref="C45:K45" si="10">SUM(C33:C44)</f>
        <v>0</v>
      </c>
      <c r="D45" s="213">
        <f t="shared" si="10"/>
        <v>82926389</v>
      </c>
      <c r="E45" s="214">
        <f t="shared" si="10"/>
        <v>91952143</v>
      </c>
      <c r="F45" s="215">
        <f t="shared" si="10"/>
        <v>94688795</v>
      </c>
      <c r="G45" s="213">
        <f t="shared" si="10"/>
        <v>94206473.75</v>
      </c>
      <c r="H45" s="214">
        <f t="shared" si="10"/>
        <v>94206473.75</v>
      </c>
      <c r="I45" s="212">
        <f t="shared" si="10"/>
        <v>102781267.80880001</v>
      </c>
      <c r="J45" s="213">
        <f t="shared" si="10"/>
        <v>108683398.62654977</v>
      </c>
      <c r="K45" s="214">
        <f t="shared" si="10"/>
        <v>114769668.94963659</v>
      </c>
      <c r="L45" s="369"/>
    </row>
    <row r="46" spans="1:15" ht="11.25" customHeight="1" x14ac:dyDescent="0.25">
      <c r="A46" s="372" t="str">
        <f>$A$14</f>
        <v>% increase</v>
      </c>
      <c r="B46" s="182">
        <f>$B$14</f>
        <v>4</v>
      </c>
      <c r="C46" s="822"/>
      <c r="D46" s="818">
        <f>IF(ISERROR((D45/C45)-1),0,((D45/C45)-1))</f>
        <v>0</v>
      </c>
      <c r="E46" s="819">
        <f t="shared" ref="E46:K46" si="11">IF(ISERROR((E45/D45)-1),0,((E45/D45)-1))</f>
        <v>0.10884055255318059</v>
      </c>
      <c r="F46" s="820">
        <f t="shared" si="11"/>
        <v>2.9761698974215323E-2</v>
      </c>
      <c r="G46" s="818">
        <f t="shared" si="11"/>
        <v>-5.0937521171328104E-3</v>
      </c>
      <c r="H46" s="819">
        <f t="shared" si="11"/>
        <v>0</v>
      </c>
      <c r="I46" s="821">
        <f t="shared" si="11"/>
        <v>9.1021282481661858E-2</v>
      </c>
      <c r="J46" s="818">
        <f t="shared" si="11"/>
        <v>5.7424187729706366E-2</v>
      </c>
      <c r="K46" s="819">
        <f t="shared" si="11"/>
        <v>5.6000000000000272E-2</v>
      </c>
      <c r="L46" s="369"/>
    </row>
    <row r="47" spans="1:15" ht="5.0999999999999996" customHeight="1" x14ac:dyDescent="0.25">
      <c r="A47" s="273"/>
      <c r="B47" s="182"/>
      <c r="C47" s="402"/>
      <c r="D47" s="402"/>
      <c r="E47" s="195"/>
      <c r="F47" s="399"/>
      <c r="G47" s="402"/>
      <c r="H47" s="195"/>
      <c r="I47" s="309"/>
      <c r="J47" s="402"/>
      <c r="K47" s="195"/>
      <c r="L47" s="369"/>
    </row>
    <row r="48" spans="1:15" ht="11.25" customHeight="1" x14ac:dyDescent="0.25">
      <c r="A48" s="792" t="s">
        <v>1544</v>
      </c>
      <c r="B48" s="793"/>
      <c r="C48" s="276">
        <f t="shared" ref="C48:K48" si="12">C13+C29+C45</f>
        <v>0</v>
      </c>
      <c r="D48" s="276">
        <f t="shared" si="12"/>
        <v>103786976</v>
      </c>
      <c r="E48" s="277">
        <f t="shared" si="12"/>
        <v>114633446.42</v>
      </c>
      <c r="F48" s="278">
        <f t="shared" si="12"/>
        <v>120127515</v>
      </c>
      <c r="G48" s="276">
        <f t="shared" si="12"/>
        <v>117956768.83</v>
      </c>
      <c r="H48" s="277">
        <f t="shared" si="12"/>
        <v>117956768.83</v>
      </c>
      <c r="I48" s="275">
        <f t="shared" si="12"/>
        <v>125803009.64000002</v>
      </c>
      <c r="J48" s="276">
        <f t="shared" si="12"/>
        <v>133063423.22579056</v>
      </c>
      <c r="K48" s="277">
        <f t="shared" si="12"/>
        <v>140514974.92643487</v>
      </c>
      <c r="L48" s="369"/>
    </row>
    <row r="49" spans="1:12" ht="11.25" customHeight="1" x14ac:dyDescent="0.25">
      <c r="A49" s="273"/>
      <c r="B49" s="182"/>
      <c r="C49" s="823"/>
      <c r="D49" s="818">
        <f>IF(ISERROR((D48/C48)-1),0,((D48/C48)-1))</f>
        <v>0</v>
      </c>
      <c r="E49" s="819">
        <f t="shared" ref="E49:K49" si="13">IF(ISERROR((E48/D48)-1),0,((E48/D48)-1))</f>
        <v>0.10450704739677552</v>
      </c>
      <c r="F49" s="820">
        <f t="shared" si="13"/>
        <v>4.7927273859241337E-2</v>
      </c>
      <c r="G49" s="818">
        <f t="shared" si="13"/>
        <v>-1.807034941162311E-2</v>
      </c>
      <c r="H49" s="819">
        <f t="shared" si="13"/>
        <v>0</v>
      </c>
      <c r="I49" s="821">
        <f t="shared" si="13"/>
        <v>6.6517936086466278E-2</v>
      </c>
      <c r="J49" s="818">
        <f t="shared" si="13"/>
        <v>5.7712558758070021E-2</v>
      </c>
      <c r="K49" s="819">
        <f t="shared" si="13"/>
        <v>5.6000000000000272E-2</v>
      </c>
      <c r="L49" s="369"/>
    </row>
    <row r="50" spans="1:12" ht="5.0999999999999996" customHeight="1" x14ac:dyDescent="0.25">
      <c r="A50" s="273"/>
      <c r="B50" s="182"/>
      <c r="C50" s="402"/>
      <c r="D50" s="824"/>
      <c r="E50" s="825"/>
      <c r="F50" s="826"/>
      <c r="G50" s="824"/>
      <c r="H50" s="825"/>
      <c r="I50" s="827"/>
      <c r="J50" s="824"/>
      <c r="K50" s="825"/>
      <c r="L50" s="369"/>
    </row>
    <row r="51" spans="1:12" ht="11.25" customHeight="1" x14ac:dyDescent="0.25">
      <c r="A51" s="249" t="s">
        <v>908</v>
      </c>
      <c r="B51" s="182"/>
      <c r="C51" s="203"/>
      <c r="D51" s="203"/>
      <c r="E51" s="204"/>
      <c r="F51" s="205"/>
      <c r="G51" s="203"/>
      <c r="H51" s="204"/>
      <c r="I51" s="202"/>
      <c r="J51" s="203"/>
      <c r="K51" s="204"/>
      <c r="L51" s="369"/>
    </row>
    <row r="52" spans="1:12" ht="11.25" customHeight="1" x14ac:dyDescent="0.25">
      <c r="A52" s="190" t="s">
        <v>1292</v>
      </c>
      <c r="B52" s="182"/>
      <c r="C52" s="1606">
        <v>0</v>
      </c>
      <c r="D52" s="1606">
        <v>0</v>
      </c>
      <c r="E52" s="1606">
        <v>0</v>
      </c>
      <c r="F52" s="1606">
        <v>0</v>
      </c>
      <c r="G52" s="1606">
        <v>0</v>
      </c>
      <c r="H52" s="1606">
        <v>0</v>
      </c>
      <c r="I52" s="1606">
        <v>0</v>
      </c>
      <c r="J52" s="1606">
        <v>0</v>
      </c>
      <c r="K52" s="1606">
        <v>0</v>
      </c>
      <c r="L52" s="369"/>
    </row>
    <row r="53" spans="1:12" ht="11.25" customHeight="1" x14ac:dyDescent="0.25">
      <c r="A53" s="190" t="s">
        <v>2039</v>
      </c>
      <c r="B53" s="182"/>
      <c r="C53" s="1606">
        <v>0</v>
      </c>
      <c r="D53" s="1606">
        <v>0</v>
      </c>
      <c r="E53" s="1606">
        <v>0</v>
      </c>
      <c r="F53" s="1606">
        <v>0</v>
      </c>
      <c r="G53" s="1606">
        <v>0</v>
      </c>
      <c r="H53" s="1606">
        <v>0</v>
      </c>
      <c r="I53" s="1606">
        <v>0</v>
      </c>
      <c r="J53" s="1606">
        <v>0</v>
      </c>
      <c r="K53" s="1606">
        <v>0</v>
      </c>
      <c r="L53" s="369"/>
    </row>
    <row r="54" spans="1:12" ht="11.25" customHeight="1" x14ac:dyDescent="0.25">
      <c r="A54" s="190" t="s">
        <v>759</v>
      </c>
      <c r="B54" s="182"/>
      <c r="C54" s="1606">
        <v>0</v>
      </c>
      <c r="D54" s="1606">
        <v>0</v>
      </c>
      <c r="E54" s="1606">
        <v>0</v>
      </c>
      <c r="F54" s="1606">
        <v>0</v>
      </c>
      <c r="G54" s="1606">
        <v>0</v>
      </c>
      <c r="H54" s="1606">
        <v>0</v>
      </c>
      <c r="I54" s="1606">
        <v>0</v>
      </c>
      <c r="J54" s="1606">
        <v>0</v>
      </c>
      <c r="K54" s="1606">
        <v>0</v>
      </c>
      <c r="L54" s="369"/>
    </row>
    <row r="55" spans="1:12" ht="11.25" customHeight="1" x14ac:dyDescent="0.25">
      <c r="A55" s="190" t="s">
        <v>1083</v>
      </c>
      <c r="B55" s="182"/>
      <c r="C55" s="1606">
        <v>0</v>
      </c>
      <c r="D55" s="1606">
        <v>0</v>
      </c>
      <c r="E55" s="1606">
        <v>0</v>
      </c>
      <c r="F55" s="1606">
        <v>0</v>
      </c>
      <c r="G55" s="1606">
        <v>0</v>
      </c>
      <c r="H55" s="1606">
        <v>0</v>
      </c>
      <c r="I55" s="1606">
        <v>0</v>
      </c>
      <c r="J55" s="1606">
        <v>0</v>
      </c>
      <c r="K55" s="1606">
        <v>0</v>
      </c>
      <c r="L55" s="369"/>
    </row>
    <row r="56" spans="1:12" ht="11.25" customHeight="1" x14ac:dyDescent="0.25">
      <c r="A56" s="190" t="s">
        <v>761</v>
      </c>
      <c r="B56" s="182"/>
      <c r="C56" s="1606">
        <v>0</v>
      </c>
      <c r="D56" s="1606">
        <v>0</v>
      </c>
      <c r="E56" s="1606">
        <v>0</v>
      </c>
      <c r="F56" s="1606">
        <v>0</v>
      </c>
      <c r="G56" s="1606">
        <v>0</v>
      </c>
      <c r="H56" s="1606">
        <v>0</v>
      </c>
      <c r="I56" s="1606">
        <v>0</v>
      </c>
      <c r="J56" s="1606">
        <v>0</v>
      </c>
      <c r="K56" s="1606">
        <v>0</v>
      </c>
      <c r="L56" s="369"/>
    </row>
    <row r="57" spans="1:12" ht="11.25" customHeight="1" x14ac:dyDescent="0.25">
      <c r="A57" s="190" t="s">
        <v>2193</v>
      </c>
      <c r="B57" s="182">
        <v>3</v>
      </c>
      <c r="C57" s="1606">
        <v>0</v>
      </c>
      <c r="D57" s="1606">
        <v>0</v>
      </c>
      <c r="E57" s="1606">
        <v>0</v>
      </c>
      <c r="F57" s="1606">
        <v>0</v>
      </c>
      <c r="G57" s="1606">
        <v>0</v>
      </c>
      <c r="H57" s="1606">
        <v>0</v>
      </c>
      <c r="I57" s="1606">
        <v>0</v>
      </c>
      <c r="J57" s="1606">
        <v>0</v>
      </c>
      <c r="K57" s="1606">
        <v>0</v>
      </c>
      <c r="L57" s="369"/>
    </row>
    <row r="58" spans="1:12" ht="11.25" customHeight="1" x14ac:dyDescent="0.25">
      <c r="A58" s="190" t="s">
        <v>2040</v>
      </c>
      <c r="B58" s="182">
        <v>3</v>
      </c>
      <c r="C58" s="1606">
        <v>0</v>
      </c>
      <c r="D58" s="1606">
        <v>0</v>
      </c>
      <c r="E58" s="1606">
        <v>0</v>
      </c>
      <c r="F58" s="1606">
        <v>0</v>
      </c>
      <c r="G58" s="1606">
        <v>0</v>
      </c>
      <c r="H58" s="1606">
        <v>0</v>
      </c>
      <c r="I58" s="1606">
        <v>0</v>
      </c>
      <c r="J58" s="1606">
        <v>0</v>
      </c>
      <c r="K58" s="1606">
        <v>0</v>
      </c>
      <c r="L58" s="369"/>
    </row>
    <row r="59" spans="1:12" ht="11.25" customHeight="1" x14ac:dyDescent="0.25">
      <c r="A59" s="190" t="s">
        <v>2194</v>
      </c>
      <c r="B59" s="182">
        <v>3</v>
      </c>
      <c r="C59" s="1606">
        <v>0</v>
      </c>
      <c r="D59" s="1606">
        <v>0</v>
      </c>
      <c r="E59" s="1606">
        <v>0</v>
      </c>
      <c r="F59" s="1606">
        <v>0</v>
      </c>
      <c r="G59" s="1606">
        <v>0</v>
      </c>
      <c r="H59" s="1606">
        <v>0</v>
      </c>
      <c r="I59" s="1606">
        <v>0</v>
      </c>
      <c r="J59" s="1606">
        <v>0</v>
      </c>
      <c r="K59" s="1606">
        <v>0</v>
      </c>
      <c r="L59" s="369"/>
    </row>
    <row r="60" spans="1:12" ht="11.25" customHeight="1" x14ac:dyDescent="0.25">
      <c r="A60" s="190" t="s">
        <v>1524</v>
      </c>
      <c r="B60" s="182">
        <v>3</v>
      </c>
      <c r="C60" s="1606">
        <v>0</v>
      </c>
      <c r="D60" s="1606">
        <v>0</v>
      </c>
      <c r="E60" s="1606">
        <v>0</v>
      </c>
      <c r="F60" s="1606">
        <v>0</v>
      </c>
      <c r="G60" s="1606">
        <v>0</v>
      </c>
      <c r="H60" s="1606">
        <v>0</v>
      </c>
      <c r="I60" s="1606">
        <v>0</v>
      </c>
      <c r="J60" s="1606">
        <v>0</v>
      </c>
      <c r="K60" s="1606">
        <v>0</v>
      </c>
      <c r="L60" s="369"/>
    </row>
    <row r="61" spans="1:12" ht="11.25" customHeight="1" x14ac:dyDescent="0.25">
      <c r="A61" s="190" t="s">
        <v>2198</v>
      </c>
      <c r="B61" s="182"/>
      <c r="C61" s="1606">
        <v>0</v>
      </c>
      <c r="D61" s="1606">
        <v>0</v>
      </c>
      <c r="E61" s="1606">
        <v>0</v>
      </c>
      <c r="F61" s="1606">
        <v>0</v>
      </c>
      <c r="G61" s="1606">
        <v>0</v>
      </c>
      <c r="H61" s="1606">
        <v>0</v>
      </c>
      <c r="I61" s="1606">
        <v>0</v>
      </c>
      <c r="J61" s="1606">
        <v>0</v>
      </c>
      <c r="K61" s="1606">
        <v>0</v>
      </c>
      <c r="L61" s="369"/>
    </row>
    <row r="62" spans="1:12" ht="11.25" customHeight="1" x14ac:dyDescent="0.25">
      <c r="A62" s="190" t="s">
        <v>1652</v>
      </c>
      <c r="B62" s="182"/>
      <c r="C62" s="1606">
        <v>0</v>
      </c>
      <c r="D62" s="1606">
        <v>0</v>
      </c>
      <c r="E62" s="1606">
        <v>0</v>
      </c>
      <c r="F62" s="1606">
        <v>0</v>
      </c>
      <c r="G62" s="1606">
        <v>0</v>
      </c>
      <c r="H62" s="1606">
        <v>0</v>
      </c>
      <c r="I62" s="1606">
        <v>0</v>
      </c>
      <c r="J62" s="1606">
        <v>0</v>
      </c>
      <c r="K62" s="1606">
        <v>0</v>
      </c>
      <c r="L62" s="369"/>
    </row>
    <row r="63" spans="1:12" ht="11.25" customHeight="1" x14ac:dyDescent="0.25">
      <c r="A63" s="190" t="s">
        <v>1084</v>
      </c>
      <c r="B63" s="182"/>
      <c r="C63" s="1606">
        <v>0</v>
      </c>
      <c r="D63" s="1606">
        <v>0</v>
      </c>
      <c r="E63" s="1606">
        <v>0</v>
      </c>
      <c r="F63" s="1606">
        <v>0</v>
      </c>
      <c r="G63" s="1606">
        <v>0</v>
      </c>
      <c r="H63" s="1606">
        <v>0</v>
      </c>
      <c r="I63" s="1606">
        <v>0</v>
      </c>
      <c r="J63" s="1606">
        <v>0</v>
      </c>
      <c r="K63" s="1606">
        <v>0</v>
      </c>
      <c r="L63" s="369"/>
    </row>
    <row r="64" spans="1:12" ht="11.25" customHeight="1" x14ac:dyDescent="0.25">
      <c r="A64" s="190" t="s">
        <v>1653</v>
      </c>
      <c r="B64" s="182">
        <v>6</v>
      </c>
      <c r="C64" s="1606"/>
      <c r="D64" s="1606"/>
      <c r="E64" s="1606"/>
      <c r="F64" s="1606"/>
      <c r="G64" s="1606"/>
      <c r="H64" s="1606"/>
      <c r="I64" s="1606"/>
      <c r="J64" s="1606"/>
      <c r="K64" s="1606"/>
      <c r="L64" s="369"/>
    </row>
    <row r="65" spans="1:12" ht="11.25" customHeight="1" x14ac:dyDescent="0.25">
      <c r="A65" s="265" t="s">
        <v>1318</v>
      </c>
      <c r="B65" s="182"/>
      <c r="C65" s="213">
        <f>SUM(C52:C64)</f>
        <v>0</v>
      </c>
      <c r="D65" s="213">
        <f t="shared" ref="D65:K65" si="14">SUM(D52:D64)</f>
        <v>0</v>
      </c>
      <c r="E65" s="214">
        <f t="shared" si="14"/>
        <v>0</v>
      </c>
      <c r="F65" s="215">
        <f t="shared" si="14"/>
        <v>0</v>
      </c>
      <c r="G65" s="213">
        <f t="shared" si="14"/>
        <v>0</v>
      </c>
      <c r="H65" s="214">
        <f t="shared" si="14"/>
        <v>0</v>
      </c>
      <c r="I65" s="212">
        <f t="shared" si="14"/>
        <v>0</v>
      </c>
      <c r="J65" s="213">
        <f t="shared" si="14"/>
        <v>0</v>
      </c>
      <c r="K65" s="214">
        <f t="shared" si="14"/>
        <v>0</v>
      </c>
      <c r="L65" s="369"/>
    </row>
    <row r="66" spans="1:12" ht="11.25" customHeight="1" x14ac:dyDescent="0.25">
      <c r="A66" s="372" t="str">
        <f>$A$14</f>
        <v>% increase</v>
      </c>
      <c r="B66" s="182">
        <f>$B$14</f>
        <v>4</v>
      </c>
      <c r="C66" s="822"/>
      <c r="D66" s="818">
        <f>IF(ISERROR((D65/C65)-1),0,((D65/C65)-1))</f>
        <v>0</v>
      </c>
      <c r="E66" s="819">
        <f t="shared" ref="E66:K66" si="15">IF(ISERROR((E65/D65)-1),0,((E65/D65)-1))</f>
        <v>0</v>
      </c>
      <c r="F66" s="820">
        <f t="shared" si="15"/>
        <v>0</v>
      </c>
      <c r="G66" s="818">
        <f t="shared" si="15"/>
        <v>0</v>
      </c>
      <c r="H66" s="819">
        <f t="shared" si="15"/>
        <v>0</v>
      </c>
      <c r="I66" s="821">
        <f t="shared" si="15"/>
        <v>0</v>
      </c>
      <c r="J66" s="818">
        <f t="shared" si="15"/>
        <v>0</v>
      </c>
      <c r="K66" s="819">
        <f t="shared" si="15"/>
        <v>0</v>
      </c>
      <c r="L66" s="369"/>
    </row>
    <row r="67" spans="1:12" ht="5.0999999999999996" customHeight="1" x14ac:dyDescent="0.25">
      <c r="A67" s="273"/>
      <c r="B67" s="182"/>
      <c r="C67" s="402"/>
      <c r="D67" s="402"/>
      <c r="E67" s="195"/>
      <c r="F67" s="399"/>
      <c r="G67" s="402"/>
      <c r="H67" s="195"/>
      <c r="I67" s="309"/>
      <c r="J67" s="402"/>
      <c r="K67" s="195"/>
      <c r="L67" s="369"/>
    </row>
    <row r="68" spans="1:12" ht="11.25" customHeight="1" x14ac:dyDescent="0.25">
      <c r="A68" s="249" t="s">
        <v>285</v>
      </c>
      <c r="B68" s="182"/>
      <c r="C68" s="203"/>
      <c r="D68" s="203"/>
      <c r="E68" s="204"/>
      <c r="F68" s="205"/>
      <c r="G68" s="203"/>
      <c r="H68" s="204"/>
      <c r="I68" s="202"/>
      <c r="J68" s="203"/>
      <c r="K68" s="204"/>
      <c r="L68" s="369"/>
    </row>
    <row r="69" spans="1:12" ht="11.25" customHeight="1" x14ac:dyDescent="0.25">
      <c r="A69" s="250" t="s">
        <v>1292</v>
      </c>
      <c r="B69" s="182"/>
      <c r="C69" s="1606"/>
      <c r="D69" s="1606"/>
      <c r="E69" s="1628"/>
      <c r="F69" s="1629"/>
      <c r="G69" s="1606"/>
      <c r="H69" s="1628"/>
      <c r="I69" s="1630"/>
      <c r="J69" s="1606"/>
      <c r="K69" s="1628"/>
      <c r="L69" s="369"/>
    </row>
    <row r="70" spans="1:12" ht="11.25" customHeight="1" x14ac:dyDescent="0.25">
      <c r="A70" s="250" t="s">
        <v>2039</v>
      </c>
      <c r="B70" s="182"/>
      <c r="C70" s="1606"/>
      <c r="D70" s="1606"/>
      <c r="E70" s="1628"/>
      <c r="F70" s="1629"/>
      <c r="G70" s="1606"/>
      <c r="H70" s="1628"/>
      <c r="I70" s="1630"/>
      <c r="J70" s="1606"/>
      <c r="K70" s="1628"/>
      <c r="L70" s="369"/>
    </row>
    <row r="71" spans="1:12" ht="11.25" customHeight="1" x14ac:dyDescent="0.25">
      <c r="A71" s="250" t="s">
        <v>759</v>
      </c>
      <c r="B71" s="182"/>
      <c r="C71" s="1606"/>
      <c r="D71" s="1606"/>
      <c r="E71" s="1628"/>
      <c r="F71" s="1629"/>
      <c r="G71" s="1606"/>
      <c r="H71" s="1628"/>
      <c r="I71" s="1630"/>
      <c r="J71" s="1606"/>
      <c r="K71" s="1628"/>
      <c r="L71" s="369"/>
    </row>
    <row r="72" spans="1:12" ht="11.25" customHeight="1" x14ac:dyDescent="0.25">
      <c r="A72" s="250" t="s">
        <v>1083</v>
      </c>
      <c r="B72" s="182"/>
      <c r="C72" s="1606"/>
      <c r="D72" s="1606"/>
      <c r="E72" s="1628"/>
      <c r="F72" s="1629"/>
      <c r="G72" s="1606"/>
      <c r="H72" s="1628"/>
      <c r="I72" s="1630"/>
      <c r="J72" s="1606"/>
      <c r="K72" s="1628"/>
      <c r="L72" s="369"/>
    </row>
    <row r="73" spans="1:12" ht="11.25" customHeight="1" x14ac:dyDescent="0.25">
      <c r="A73" s="250" t="s">
        <v>761</v>
      </c>
      <c r="B73" s="182"/>
      <c r="C73" s="1606"/>
      <c r="D73" s="1606"/>
      <c r="E73" s="1628"/>
      <c r="F73" s="1629"/>
      <c r="G73" s="1606"/>
      <c r="H73" s="1628"/>
      <c r="I73" s="1630"/>
      <c r="J73" s="1606"/>
      <c r="K73" s="1628"/>
      <c r="L73" s="369"/>
    </row>
    <row r="74" spans="1:12" ht="11.25" customHeight="1" x14ac:dyDescent="0.25">
      <c r="A74" s="250" t="s">
        <v>2193</v>
      </c>
      <c r="B74" s="182">
        <v>3</v>
      </c>
      <c r="C74" s="1606"/>
      <c r="D74" s="1606"/>
      <c r="E74" s="1628"/>
      <c r="F74" s="1629"/>
      <c r="G74" s="1606"/>
      <c r="H74" s="1628"/>
      <c r="I74" s="1630"/>
      <c r="J74" s="1606"/>
      <c r="K74" s="1628"/>
      <c r="L74" s="369"/>
    </row>
    <row r="75" spans="1:12" ht="11.25" customHeight="1" x14ac:dyDescent="0.25">
      <c r="A75" s="250" t="s">
        <v>2040</v>
      </c>
      <c r="B75" s="182">
        <v>3</v>
      </c>
      <c r="C75" s="1606"/>
      <c r="D75" s="1606"/>
      <c r="E75" s="1628"/>
      <c r="F75" s="1629"/>
      <c r="G75" s="1606"/>
      <c r="H75" s="1628"/>
      <c r="I75" s="1630"/>
      <c r="J75" s="1606"/>
      <c r="K75" s="1628"/>
      <c r="L75" s="369"/>
    </row>
    <row r="76" spans="1:12" ht="11.25" customHeight="1" x14ac:dyDescent="0.25">
      <c r="A76" s="250" t="s">
        <v>2194</v>
      </c>
      <c r="B76" s="182">
        <v>3</v>
      </c>
      <c r="C76" s="1606"/>
      <c r="D76" s="1606"/>
      <c r="E76" s="1628"/>
      <c r="F76" s="1629"/>
      <c r="G76" s="1606"/>
      <c r="H76" s="1628"/>
      <c r="I76" s="1630"/>
      <c r="J76" s="1606"/>
      <c r="K76" s="1628"/>
      <c r="L76" s="369"/>
    </row>
    <row r="77" spans="1:12" ht="11.25" customHeight="1" x14ac:dyDescent="0.25">
      <c r="A77" s="250" t="s">
        <v>1524</v>
      </c>
      <c r="B77" s="182">
        <v>3</v>
      </c>
      <c r="C77" s="1606"/>
      <c r="D77" s="1606"/>
      <c r="E77" s="1628"/>
      <c r="F77" s="1629"/>
      <c r="G77" s="1606"/>
      <c r="H77" s="1628"/>
      <c r="I77" s="1630"/>
      <c r="J77" s="1606"/>
      <c r="K77" s="1628"/>
      <c r="L77" s="369"/>
    </row>
    <row r="78" spans="1:12" ht="11.25" customHeight="1" x14ac:dyDescent="0.25">
      <c r="A78" s="250" t="s">
        <v>1652</v>
      </c>
      <c r="B78" s="182"/>
      <c r="C78" s="1606"/>
      <c r="D78" s="1606"/>
      <c r="E78" s="1628"/>
      <c r="F78" s="1629"/>
      <c r="G78" s="1606"/>
      <c r="H78" s="1628"/>
      <c r="I78" s="1630"/>
      <c r="J78" s="1606"/>
      <c r="K78" s="1628"/>
      <c r="L78" s="369"/>
    </row>
    <row r="79" spans="1:12" ht="11.25" customHeight="1" x14ac:dyDescent="0.25">
      <c r="A79" s="250" t="s">
        <v>1084</v>
      </c>
      <c r="B79" s="182"/>
      <c r="C79" s="1606"/>
      <c r="D79" s="1606"/>
      <c r="E79" s="1628"/>
      <c r="F79" s="1629"/>
      <c r="G79" s="1606"/>
      <c r="H79" s="1628"/>
      <c r="I79" s="1630"/>
      <c r="J79" s="1606"/>
      <c r="K79" s="1628"/>
      <c r="L79" s="369"/>
    </row>
    <row r="80" spans="1:12" ht="11.25" customHeight="1" x14ac:dyDescent="0.25">
      <c r="A80" s="250" t="s">
        <v>1653</v>
      </c>
      <c r="B80" s="182">
        <v>6</v>
      </c>
      <c r="C80" s="1606"/>
      <c r="D80" s="1606"/>
      <c r="E80" s="1628"/>
      <c r="F80" s="1629"/>
      <c r="G80" s="1606"/>
      <c r="H80" s="1628"/>
      <c r="I80" s="1630"/>
      <c r="J80" s="1606"/>
      <c r="K80" s="1628"/>
      <c r="L80" s="369"/>
    </row>
    <row r="81" spans="1:12" ht="11.25" customHeight="1" x14ac:dyDescent="0.25">
      <c r="A81" s="265" t="s">
        <v>286</v>
      </c>
      <c r="B81" s="182"/>
      <c r="C81" s="213">
        <f>SUM(C69:C80)</f>
        <v>0</v>
      </c>
      <c r="D81" s="213">
        <f t="shared" ref="D81:K81" si="16">SUM(D69:D80)</f>
        <v>0</v>
      </c>
      <c r="E81" s="214">
        <f t="shared" si="16"/>
        <v>0</v>
      </c>
      <c r="F81" s="215">
        <f t="shared" si="16"/>
        <v>0</v>
      </c>
      <c r="G81" s="213">
        <f t="shared" si="16"/>
        <v>0</v>
      </c>
      <c r="H81" s="214">
        <f t="shared" si="16"/>
        <v>0</v>
      </c>
      <c r="I81" s="212">
        <f t="shared" si="16"/>
        <v>0</v>
      </c>
      <c r="J81" s="213">
        <f t="shared" si="16"/>
        <v>0</v>
      </c>
      <c r="K81" s="214">
        <f t="shared" si="16"/>
        <v>0</v>
      </c>
      <c r="L81" s="369"/>
    </row>
    <row r="82" spans="1:12" ht="11.25" customHeight="1" x14ac:dyDescent="0.25">
      <c r="A82" s="372" t="str">
        <f>$A$14</f>
        <v>% increase</v>
      </c>
      <c r="B82" s="182">
        <f>$B$14</f>
        <v>4</v>
      </c>
      <c r="C82" s="822"/>
      <c r="D82" s="818">
        <f>IF(ISERROR((D81/C81)-1),0,((D81/C81)-1))</f>
        <v>0</v>
      </c>
      <c r="E82" s="819">
        <f t="shared" ref="E82:K82" si="17">IF(ISERROR((E81/D81)-1),0,((E81/D81)-1))</f>
        <v>0</v>
      </c>
      <c r="F82" s="820">
        <f t="shared" si="17"/>
        <v>0</v>
      </c>
      <c r="G82" s="818">
        <f t="shared" si="17"/>
        <v>0</v>
      </c>
      <c r="H82" s="819">
        <f t="shared" si="17"/>
        <v>0</v>
      </c>
      <c r="I82" s="821">
        <f t="shared" si="17"/>
        <v>0</v>
      </c>
      <c r="J82" s="818">
        <f t="shared" si="17"/>
        <v>0</v>
      </c>
      <c r="K82" s="819">
        <f t="shared" si="17"/>
        <v>0</v>
      </c>
      <c r="L82" s="369"/>
    </row>
    <row r="83" spans="1:12" ht="5.0999999999999996" customHeight="1" x14ac:dyDescent="0.25">
      <c r="A83" s="273"/>
      <c r="B83" s="182"/>
      <c r="C83" s="402"/>
      <c r="D83" s="402"/>
      <c r="E83" s="195"/>
      <c r="F83" s="399"/>
      <c r="G83" s="402"/>
      <c r="H83" s="195"/>
      <c r="I83" s="309"/>
      <c r="J83" s="402"/>
      <c r="K83" s="195"/>
      <c r="L83" s="369"/>
    </row>
    <row r="84" spans="1:12" ht="11.25" customHeight="1" x14ac:dyDescent="0.25">
      <c r="A84" s="249" t="s">
        <v>287</v>
      </c>
      <c r="B84" s="182"/>
      <c r="C84" s="203"/>
      <c r="D84" s="203"/>
      <c r="E84" s="204"/>
      <c r="F84" s="205"/>
      <c r="G84" s="203"/>
      <c r="H84" s="204"/>
      <c r="I84" s="202"/>
      <c r="J84" s="203"/>
      <c r="K84" s="204"/>
      <c r="L84" s="369"/>
    </row>
    <row r="85" spans="1:12" ht="11.25" customHeight="1" x14ac:dyDescent="0.25">
      <c r="A85" s="250" t="s">
        <v>1292</v>
      </c>
      <c r="B85" s="182"/>
      <c r="C85" s="1606"/>
      <c r="D85" s="1606"/>
      <c r="E85" s="1628"/>
      <c r="F85" s="1629"/>
      <c r="G85" s="1606"/>
      <c r="H85" s="1628"/>
      <c r="I85" s="1630"/>
      <c r="J85" s="1606"/>
      <c r="K85" s="1628"/>
      <c r="L85" s="369"/>
    </row>
    <row r="86" spans="1:12" ht="11.25" customHeight="1" x14ac:dyDescent="0.25">
      <c r="A86" s="250" t="s">
        <v>2039</v>
      </c>
      <c r="B86" s="182"/>
      <c r="C86" s="1606"/>
      <c r="D86" s="1606"/>
      <c r="E86" s="1628"/>
      <c r="F86" s="1629"/>
      <c r="G86" s="1606"/>
      <c r="H86" s="1628"/>
      <c r="I86" s="1630"/>
      <c r="J86" s="1606"/>
      <c r="K86" s="1628"/>
      <c r="L86" s="369"/>
    </row>
    <row r="87" spans="1:12" ht="11.25" customHeight="1" x14ac:dyDescent="0.25">
      <c r="A87" s="250" t="s">
        <v>759</v>
      </c>
      <c r="B87" s="182"/>
      <c r="C87" s="1606"/>
      <c r="D87" s="1606"/>
      <c r="E87" s="1628"/>
      <c r="F87" s="1629"/>
      <c r="G87" s="1606"/>
      <c r="H87" s="1628"/>
      <c r="I87" s="1630"/>
      <c r="J87" s="1606"/>
      <c r="K87" s="1628"/>
      <c r="L87" s="369"/>
    </row>
    <row r="88" spans="1:12" ht="11.25" customHeight="1" x14ac:dyDescent="0.25">
      <c r="A88" s="250" t="s">
        <v>1083</v>
      </c>
      <c r="B88" s="182"/>
      <c r="C88" s="1606"/>
      <c r="D88" s="1606"/>
      <c r="E88" s="1628"/>
      <c r="F88" s="1629"/>
      <c r="G88" s="1606"/>
      <c r="H88" s="1628"/>
      <c r="I88" s="1630"/>
      <c r="J88" s="1606"/>
      <c r="K88" s="1628"/>
      <c r="L88" s="369"/>
    </row>
    <row r="89" spans="1:12" ht="11.25" customHeight="1" x14ac:dyDescent="0.25">
      <c r="A89" s="250" t="s">
        <v>761</v>
      </c>
      <c r="B89" s="182"/>
      <c r="C89" s="1606"/>
      <c r="D89" s="1606"/>
      <c r="E89" s="1628"/>
      <c r="F89" s="1629"/>
      <c r="G89" s="1606"/>
      <c r="H89" s="1628"/>
      <c r="I89" s="1630"/>
      <c r="J89" s="1606"/>
      <c r="K89" s="1628"/>
      <c r="L89" s="369"/>
    </row>
    <row r="90" spans="1:12" ht="11.25" customHeight="1" x14ac:dyDescent="0.25">
      <c r="A90" s="250" t="s">
        <v>2193</v>
      </c>
      <c r="B90" s="182">
        <v>3</v>
      </c>
      <c r="C90" s="1606"/>
      <c r="D90" s="1606"/>
      <c r="E90" s="1628"/>
      <c r="F90" s="1629"/>
      <c r="G90" s="1606"/>
      <c r="H90" s="1628"/>
      <c r="I90" s="1630"/>
      <c r="J90" s="1606"/>
      <c r="K90" s="1628"/>
      <c r="L90" s="369"/>
    </row>
    <row r="91" spans="1:12" ht="11.25" customHeight="1" x14ac:dyDescent="0.25">
      <c r="A91" s="250" t="s">
        <v>2040</v>
      </c>
      <c r="B91" s="182">
        <v>3</v>
      </c>
      <c r="C91" s="1606"/>
      <c r="D91" s="1606"/>
      <c r="E91" s="1628"/>
      <c r="F91" s="1629"/>
      <c r="G91" s="1606"/>
      <c r="H91" s="1628"/>
      <c r="I91" s="1630"/>
      <c r="J91" s="1606"/>
      <c r="K91" s="1628"/>
      <c r="L91" s="369"/>
    </row>
    <row r="92" spans="1:12" ht="11.25" customHeight="1" x14ac:dyDescent="0.25">
      <c r="A92" s="250" t="s">
        <v>2194</v>
      </c>
      <c r="B92" s="182">
        <v>3</v>
      </c>
      <c r="C92" s="1606"/>
      <c r="D92" s="1606"/>
      <c r="E92" s="1628"/>
      <c r="F92" s="1629"/>
      <c r="G92" s="1606"/>
      <c r="H92" s="1628"/>
      <c r="I92" s="1630"/>
      <c r="J92" s="1606"/>
      <c r="K92" s="1628"/>
      <c r="L92" s="369"/>
    </row>
    <row r="93" spans="1:12" ht="11.25" customHeight="1" x14ac:dyDescent="0.25">
      <c r="A93" s="250" t="s">
        <v>1524</v>
      </c>
      <c r="B93" s="182">
        <v>3</v>
      </c>
      <c r="C93" s="1606"/>
      <c r="D93" s="1606"/>
      <c r="E93" s="1628"/>
      <c r="F93" s="1629"/>
      <c r="G93" s="1606"/>
      <c r="H93" s="1628"/>
      <c r="I93" s="1630"/>
      <c r="J93" s="1606"/>
      <c r="K93" s="1628"/>
      <c r="L93" s="369"/>
    </row>
    <row r="94" spans="1:12" ht="11.25" customHeight="1" x14ac:dyDescent="0.25">
      <c r="A94" s="250" t="s">
        <v>1652</v>
      </c>
      <c r="B94" s="182"/>
      <c r="C94" s="1606"/>
      <c r="D94" s="1606"/>
      <c r="E94" s="1628"/>
      <c r="F94" s="1629"/>
      <c r="G94" s="1606"/>
      <c r="H94" s="1628"/>
      <c r="I94" s="1630"/>
      <c r="J94" s="1606"/>
      <c r="K94" s="1628"/>
      <c r="L94" s="369"/>
    </row>
    <row r="95" spans="1:12" ht="11.25" customHeight="1" x14ac:dyDescent="0.25">
      <c r="A95" s="250" t="s">
        <v>1084</v>
      </c>
      <c r="B95" s="182"/>
      <c r="C95" s="1606"/>
      <c r="D95" s="1606"/>
      <c r="E95" s="1628"/>
      <c r="F95" s="1629"/>
      <c r="G95" s="1606"/>
      <c r="H95" s="1628"/>
      <c r="I95" s="1630"/>
      <c r="J95" s="1606"/>
      <c r="K95" s="1628"/>
      <c r="L95" s="369"/>
    </row>
    <row r="96" spans="1:12" ht="11.25" customHeight="1" x14ac:dyDescent="0.25">
      <c r="A96" s="250" t="s">
        <v>1653</v>
      </c>
      <c r="B96" s="182">
        <v>6</v>
      </c>
      <c r="C96" s="1606"/>
      <c r="D96" s="1606"/>
      <c r="E96" s="1628"/>
      <c r="F96" s="1629"/>
      <c r="G96" s="1606"/>
      <c r="H96" s="1628"/>
      <c r="I96" s="1630"/>
      <c r="J96" s="1606"/>
      <c r="K96" s="1628"/>
      <c r="L96" s="369"/>
    </row>
    <row r="97" spans="1:14" ht="11.25" customHeight="1" x14ac:dyDescent="0.25">
      <c r="A97" s="265" t="s">
        <v>1290</v>
      </c>
      <c r="B97" s="182"/>
      <c r="C97" s="213">
        <f>SUM(C85:C96)</f>
        <v>0</v>
      </c>
      <c r="D97" s="213">
        <f t="shared" ref="D97:K97" si="18">SUM(D85:D96)</f>
        <v>0</v>
      </c>
      <c r="E97" s="214">
        <f t="shared" si="18"/>
        <v>0</v>
      </c>
      <c r="F97" s="215">
        <f t="shared" si="18"/>
        <v>0</v>
      </c>
      <c r="G97" s="213">
        <f t="shared" si="18"/>
        <v>0</v>
      </c>
      <c r="H97" s="214">
        <f t="shared" si="18"/>
        <v>0</v>
      </c>
      <c r="I97" s="212">
        <f t="shared" si="18"/>
        <v>0</v>
      </c>
      <c r="J97" s="213">
        <f t="shared" si="18"/>
        <v>0</v>
      </c>
      <c r="K97" s="214">
        <f t="shared" si="18"/>
        <v>0</v>
      </c>
      <c r="L97" s="369"/>
    </row>
    <row r="98" spans="1:14" ht="11.25" customHeight="1" x14ac:dyDescent="0.25">
      <c r="A98" s="372" t="str">
        <f>$A$14</f>
        <v>% increase</v>
      </c>
      <c r="B98" s="182">
        <f>$B$14</f>
        <v>4</v>
      </c>
      <c r="C98" s="822"/>
      <c r="D98" s="818">
        <f>IF(ISERROR((D97/C97)-1),0,((D97/C97)-1))</f>
        <v>0</v>
      </c>
      <c r="E98" s="819">
        <f t="shared" ref="E98:K98" si="19">IF(ISERROR((E97/D97)-1),0,((E97/D97)-1))</f>
        <v>0</v>
      </c>
      <c r="F98" s="820">
        <f t="shared" si="19"/>
        <v>0</v>
      </c>
      <c r="G98" s="818">
        <f t="shared" si="19"/>
        <v>0</v>
      </c>
      <c r="H98" s="819">
        <f t="shared" si="19"/>
        <v>0</v>
      </c>
      <c r="I98" s="821">
        <f t="shared" si="19"/>
        <v>0</v>
      </c>
      <c r="J98" s="818">
        <f t="shared" si="19"/>
        <v>0</v>
      </c>
      <c r="K98" s="819">
        <f t="shared" si="19"/>
        <v>0</v>
      </c>
      <c r="L98" s="369"/>
    </row>
    <row r="99" spans="1:14" ht="5.0999999999999996" customHeight="1" x14ac:dyDescent="0.25">
      <c r="A99" s="273"/>
      <c r="B99" s="182"/>
      <c r="C99" s="402"/>
      <c r="D99" s="402"/>
      <c r="E99" s="195"/>
      <c r="F99" s="399"/>
      <c r="G99" s="402"/>
      <c r="H99" s="195"/>
      <c r="I99" s="309"/>
      <c r="J99" s="402"/>
      <c r="K99" s="195"/>
      <c r="L99" s="369"/>
    </row>
    <row r="100" spans="1:14" ht="11.25" customHeight="1" x14ac:dyDescent="0.25">
      <c r="A100" s="792" t="s">
        <v>1545</v>
      </c>
      <c r="B100" s="793"/>
      <c r="C100" s="276">
        <f>C65+C81+C97</f>
        <v>0</v>
      </c>
      <c r="D100" s="276">
        <f t="shared" ref="D100:K100" si="20">D65+D81+D97</f>
        <v>0</v>
      </c>
      <c r="E100" s="277">
        <f t="shared" si="20"/>
        <v>0</v>
      </c>
      <c r="F100" s="278">
        <f t="shared" si="20"/>
        <v>0</v>
      </c>
      <c r="G100" s="276">
        <f t="shared" si="20"/>
        <v>0</v>
      </c>
      <c r="H100" s="277">
        <f t="shared" si="20"/>
        <v>0</v>
      </c>
      <c r="I100" s="275">
        <f t="shared" si="20"/>
        <v>0</v>
      </c>
      <c r="J100" s="276">
        <f t="shared" si="20"/>
        <v>0</v>
      </c>
      <c r="K100" s="277">
        <f t="shared" si="20"/>
        <v>0</v>
      </c>
      <c r="L100" s="369"/>
    </row>
    <row r="101" spans="1:14" ht="6" customHeight="1" x14ac:dyDescent="0.25">
      <c r="A101" s="273"/>
      <c r="B101" s="182"/>
      <c r="C101" s="402"/>
      <c r="D101" s="402"/>
      <c r="E101" s="195"/>
      <c r="F101" s="399"/>
      <c r="G101" s="402"/>
      <c r="H101" s="195"/>
      <c r="I101" s="309"/>
      <c r="J101" s="402"/>
      <c r="K101" s="195"/>
      <c r="L101" s="369"/>
    </row>
    <row r="102" spans="1:14" ht="25.5" x14ac:dyDescent="0.25">
      <c r="A102" s="1355" t="s">
        <v>563</v>
      </c>
      <c r="B102" s="381"/>
      <c r="C102" s="283">
        <f>C48+C100</f>
        <v>0</v>
      </c>
      <c r="D102" s="283">
        <f>D48+D100</f>
        <v>103786976</v>
      </c>
      <c r="E102" s="284">
        <f t="shared" ref="E102:K102" si="21">E48+E100</f>
        <v>114633446.42</v>
      </c>
      <c r="F102" s="285">
        <f t="shared" si="21"/>
        <v>120127515</v>
      </c>
      <c r="G102" s="283">
        <f t="shared" si="21"/>
        <v>117956768.83</v>
      </c>
      <c r="H102" s="284">
        <f t="shared" si="21"/>
        <v>117956768.83</v>
      </c>
      <c r="I102" s="282">
        <f t="shared" si="21"/>
        <v>125803009.64000002</v>
      </c>
      <c r="J102" s="283">
        <f t="shared" si="21"/>
        <v>133063423.22579056</v>
      </c>
      <c r="K102" s="284">
        <f t="shared" si="21"/>
        <v>140514974.92643487</v>
      </c>
      <c r="L102" s="369"/>
    </row>
    <row r="103" spans="1:14" ht="12.75" customHeight="1" x14ac:dyDescent="0.25">
      <c r="A103" s="372" t="str">
        <f>$A$14</f>
        <v>% increase</v>
      </c>
      <c r="B103" s="182">
        <f>$B$14</f>
        <v>4</v>
      </c>
      <c r="C103" s="823"/>
      <c r="D103" s="818">
        <f>IF(ISERROR((D102/C102)-1),0,((D102/C102)-1))</f>
        <v>0</v>
      </c>
      <c r="E103" s="821">
        <f t="shared" ref="E103:K103" si="22">IF(ISERROR((E102/D102)-1),0,((E102/D102)-1))</f>
        <v>0.10450704739677552</v>
      </c>
      <c r="F103" s="820">
        <f t="shared" si="22"/>
        <v>4.7927273859241337E-2</v>
      </c>
      <c r="G103" s="818">
        <f t="shared" si="22"/>
        <v>-1.807034941162311E-2</v>
      </c>
      <c r="H103" s="819">
        <f t="shared" si="22"/>
        <v>0</v>
      </c>
      <c r="I103" s="821">
        <f t="shared" si="22"/>
        <v>6.6517936086466278E-2</v>
      </c>
      <c r="J103" s="818">
        <f t="shared" si="22"/>
        <v>5.7712558758070021E-2</v>
      </c>
      <c r="K103" s="819">
        <f t="shared" si="22"/>
        <v>5.6000000000000272E-2</v>
      </c>
      <c r="L103" s="360"/>
      <c r="M103" s="246"/>
      <c r="N103" s="246"/>
    </row>
    <row r="104" spans="1:14" ht="12.75" customHeight="1" x14ac:dyDescent="0.25">
      <c r="A104" s="281" t="s">
        <v>1424</v>
      </c>
      <c r="B104" s="225" t="s">
        <v>2250</v>
      </c>
      <c r="C104" s="230">
        <f t="shared" ref="C104:K104" si="23">C29+C45+C81+C97</f>
        <v>0</v>
      </c>
      <c r="D104" s="230">
        <f t="shared" si="23"/>
        <v>87902039</v>
      </c>
      <c r="E104" s="231">
        <f t="shared" si="23"/>
        <v>96797188</v>
      </c>
      <c r="F104" s="229">
        <f t="shared" si="23"/>
        <v>101035795</v>
      </c>
      <c r="G104" s="230">
        <f t="shared" si="23"/>
        <v>99603079.75</v>
      </c>
      <c r="H104" s="228">
        <f t="shared" si="23"/>
        <v>99603079.75</v>
      </c>
      <c r="I104" s="231">
        <f t="shared" si="23"/>
        <v>107340510.12</v>
      </c>
      <c r="J104" s="230">
        <f t="shared" si="23"/>
        <v>113511636.23411056</v>
      </c>
      <c r="K104" s="228">
        <f t="shared" si="23"/>
        <v>119868287.8632208</v>
      </c>
      <c r="L104" s="360"/>
      <c r="M104" s="246"/>
      <c r="N104" s="246"/>
    </row>
    <row r="105" spans="1:14" s="708" customFormat="1" x14ac:dyDescent="0.25">
      <c r="A105" s="1257" t="str">
        <f>head27a</f>
        <v>References</v>
      </c>
      <c r="B105" s="1033"/>
      <c r="C105" s="1075"/>
      <c r="D105" s="1075"/>
      <c r="E105" s="1075"/>
      <c r="F105" s="1075"/>
      <c r="G105" s="1075"/>
      <c r="H105" s="1075"/>
      <c r="I105" s="1075"/>
      <c r="J105" s="1075"/>
      <c r="K105" s="1075"/>
      <c r="L105" s="1057"/>
      <c r="M105" s="1057"/>
      <c r="N105" s="1057"/>
    </row>
    <row r="106" spans="1:14" s="708" customFormat="1" x14ac:dyDescent="0.25">
      <c r="A106" s="1258" t="s">
        <v>1645</v>
      </c>
      <c r="B106" s="1033"/>
      <c r="C106" s="1075"/>
      <c r="D106" s="1075"/>
      <c r="E106" s="1075"/>
      <c r="F106" s="1075"/>
      <c r="G106" s="1075"/>
      <c r="H106" s="1075"/>
      <c r="I106" s="1075"/>
      <c r="J106" s="1075"/>
      <c r="K106" s="1075"/>
      <c r="L106" s="1057"/>
      <c r="M106" s="1057"/>
      <c r="N106" s="1057"/>
    </row>
    <row r="107" spans="1:14" s="708" customFormat="1" x14ac:dyDescent="0.25">
      <c r="A107" s="1414" t="s">
        <v>677</v>
      </c>
      <c r="B107" s="1033"/>
      <c r="C107" s="1075"/>
      <c r="D107" s="1075"/>
      <c r="E107" s="1075"/>
      <c r="F107" s="1075"/>
      <c r="G107" s="1075"/>
      <c r="H107" s="1075"/>
      <c r="I107" s="1075"/>
      <c r="J107" s="1075"/>
      <c r="K107" s="1075"/>
      <c r="L107" s="1057"/>
      <c r="M107" s="1057"/>
      <c r="N107" s="1057"/>
    </row>
    <row r="108" spans="1:14" s="708" customFormat="1" x14ac:dyDescent="0.25">
      <c r="A108" s="1258" t="s">
        <v>2220</v>
      </c>
      <c r="B108" s="1033"/>
      <c r="C108" s="1075"/>
      <c r="D108" s="1075"/>
      <c r="E108" s="1075"/>
      <c r="F108" s="1075"/>
      <c r="G108" s="1075"/>
      <c r="H108" s="1075"/>
      <c r="I108" s="1075"/>
      <c r="J108" s="1075"/>
      <c r="K108" s="1075"/>
      <c r="L108" s="1057"/>
      <c r="M108" s="1057"/>
      <c r="N108" s="1057"/>
    </row>
    <row r="109" spans="1:14" s="708" customFormat="1" x14ac:dyDescent="0.25">
      <c r="A109" s="1414" t="s">
        <v>1646</v>
      </c>
      <c r="B109" s="1043"/>
      <c r="C109" s="1079"/>
    </row>
    <row r="110" spans="1:14" s="708" customFormat="1" x14ac:dyDescent="0.25">
      <c r="A110" s="1414" t="s">
        <v>128</v>
      </c>
      <c r="B110" s="1043"/>
      <c r="C110" s="1079"/>
    </row>
    <row r="111" spans="1:14" s="708" customFormat="1" x14ac:dyDescent="0.25">
      <c r="A111" s="1414" t="s">
        <v>2041</v>
      </c>
      <c r="B111" s="1043"/>
      <c r="C111" s="1079"/>
    </row>
    <row r="112" spans="1:14" s="708" customFormat="1" x14ac:dyDescent="0.25">
      <c r="A112" s="1414" t="s">
        <v>2249</v>
      </c>
      <c r="B112" s="1043"/>
      <c r="C112" s="1079"/>
    </row>
    <row r="113" spans="1:3" s="708" customFormat="1" ht="3.75" customHeight="1" x14ac:dyDescent="0.25">
      <c r="A113" s="1414"/>
      <c r="B113" s="1043"/>
      <c r="C113" s="1079"/>
    </row>
    <row r="114" spans="1:3" s="708" customFormat="1" x14ac:dyDescent="0.25">
      <c r="A114" s="1415" t="s">
        <v>543</v>
      </c>
      <c r="B114" s="1043"/>
    </row>
    <row r="115" spans="1:3" s="708" customFormat="1" x14ac:dyDescent="0.25">
      <c r="A115" s="1414" t="s">
        <v>1716</v>
      </c>
      <c r="B115" s="1043"/>
    </row>
    <row r="116" spans="1:3" s="708" customFormat="1" x14ac:dyDescent="0.25">
      <c r="A116" s="1414" t="s">
        <v>166</v>
      </c>
      <c r="B116" s="1043"/>
    </row>
    <row r="117" spans="1:3" s="708" customFormat="1" x14ac:dyDescent="0.25">
      <c r="A117" s="1414" t="s">
        <v>167</v>
      </c>
      <c r="B117" s="1043"/>
    </row>
    <row r="118" spans="1:3" s="708" customFormat="1" x14ac:dyDescent="0.25">
      <c r="A118" s="1414" t="s">
        <v>168</v>
      </c>
      <c r="B118" s="1043"/>
    </row>
    <row r="119" spans="1:3" s="708" customFormat="1" x14ac:dyDescent="0.25">
      <c r="A119" s="1414" t="s">
        <v>169</v>
      </c>
      <c r="B119" s="1043"/>
    </row>
    <row r="120" spans="1:3" s="708" customFormat="1" x14ac:dyDescent="0.25">
      <c r="A120" s="1414" t="s">
        <v>170</v>
      </c>
      <c r="B120" s="1043"/>
    </row>
    <row r="122" spans="1:3" x14ac:dyDescent="0.25">
      <c r="B122" s="149"/>
    </row>
    <row r="123" spans="1:3" x14ac:dyDescent="0.25">
      <c r="B123" s="149"/>
    </row>
    <row r="124" spans="1:3" x14ac:dyDescent="0.25">
      <c r="B124" s="149"/>
    </row>
    <row r="125" spans="1:3" x14ac:dyDescent="0.25">
      <c r="B125" s="149"/>
    </row>
    <row r="126" spans="1:3" x14ac:dyDescent="0.25">
      <c r="B126" s="149"/>
    </row>
    <row r="127" spans="1:3" x14ac:dyDescent="0.25">
      <c r="B127" s="149"/>
    </row>
    <row r="128" spans="1:3" x14ac:dyDescent="0.25">
      <c r="B128" s="149"/>
    </row>
    <row r="129" spans="2:2" x14ac:dyDescent="0.25">
      <c r="B129" s="149"/>
    </row>
    <row r="130" spans="2:2" x14ac:dyDescent="0.25">
      <c r="B130" s="149"/>
    </row>
    <row r="131" spans="2:2" x14ac:dyDescent="0.25">
      <c r="B131" s="149"/>
    </row>
    <row r="132" spans="2:2" x14ac:dyDescent="0.25">
      <c r="B132" s="149"/>
    </row>
    <row r="133" spans="2:2" x14ac:dyDescent="0.25">
      <c r="B133" s="149"/>
    </row>
    <row r="134" spans="2:2" x14ac:dyDescent="0.25">
      <c r="B134" s="149"/>
    </row>
    <row r="135" spans="2:2" x14ac:dyDescent="0.25">
      <c r="B135" s="149"/>
    </row>
    <row r="136" spans="2:2" x14ac:dyDescent="0.25">
      <c r="B136" s="149"/>
    </row>
    <row r="137" spans="2:2" x14ac:dyDescent="0.25">
      <c r="B137" s="149"/>
    </row>
    <row r="138" spans="2:2" x14ac:dyDescent="0.25">
      <c r="B138" s="149"/>
    </row>
    <row r="139" spans="2:2" x14ac:dyDescent="0.25">
      <c r="B139" s="149"/>
    </row>
    <row r="140" spans="2:2" x14ac:dyDescent="0.25">
      <c r="B140" s="149"/>
    </row>
    <row r="141" spans="2:2" x14ac:dyDescent="0.25">
      <c r="B141" s="149"/>
    </row>
    <row r="142" spans="2:2" x14ac:dyDescent="0.25">
      <c r="B142" s="149"/>
    </row>
    <row r="143" spans="2:2" x14ac:dyDescent="0.25">
      <c r="B143" s="149"/>
    </row>
    <row r="144" spans="2:2" x14ac:dyDescent="0.25">
      <c r="B144" s="149"/>
    </row>
    <row r="145" spans="2:2" x14ac:dyDescent="0.25">
      <c r="B145" s="149"/>
    </row>
    <row r="146" spans="2:2" x14ac:dyDescent="0.25">
      <c r="B146" s="149"/>
    </row>
    <row r="147" spans="2:2" x14ac:dyDescent="0.25">
      <c r="B147" s="149"/>
    </row>
    <row r="148" spans="2:2" x14ac:dyDescent="0.25">
      <c r="B148" s="149"/>
    </row>
    <row r="149" spans="2:2" x14ac:dyDescent="0.25">
      <c r="B149" s="149"/>
    </row>
    <row r="150" spans="2:2" x14ac:dyDescent="0.25">
      <c r="B150" s="149"/>
    </row>
    <row r="151" spans="2:2" x14ac:dyDescent="0.25">
      <c r="B151" s="149"/>
    </row>
    <row r="152" spans="2:2" x14ac:dyDescent="0.25">
      <c r="B152" s="149"/>
    </row>
    <row r="153" spans="2:2" x14ac:dyDescent="0.25">
      <c r="B153" s="149"/>
    </row>
    <row r="154" spans="2:2" x14ac:dyDescent="0.25">
      <c r="B154" s="149"/>
    </row>
    <row r="155" spans="2:2" x14ac:dyDescent="0.25">
      <c r="B155" s="149"/>
    </row>
    <row r="156" spans="2:2" x14ac:dyDescent="0.25">
      <c r="B156" s="149"/>
    </row>
    <row r="157" spans="2:2" x14ac:dyDescent="0.25">
      <c r="B157" s="149"/>
    </row>
    <row r="158" spans="2:2" x14ac:dyDescent="0.25">
      <c r="B158" s="149"/>
    </row>
    <row r="159" spans="2:2" x14ac:dyDescent="0.25">
      <c r="B159" s="149"/>
    </row>
    <row r="160" spans="2:2" x14ac:dyDescent="0.25">
      <c r="B160" s="149"/>
    </row>
    <row r="161" spans="2:2" x14ac:dyDescent="0.25">
      <c r="B161" s="149"/>
    </row>
    <row r="162" spans="2:2" x14ac:dyDescent="0.25">
      <c r="B162" s="149"/>
    </row>
    <row r="163" spans="2:2" x14ac:dyDescent="0.25">
      <c r="B163" s="149"/>
    </row>
    <row r="164" spans="2:2" x14ac:dyDescent="0.25">
      <c r="B164" s="149"/>
    </row>
    <row r="165" spans="2:2" x14ac:dyDescent="0.25">
      <c r="B165" s="149"/>
    </row>
    <row r="166" spans="2:2" x14ac:dyDescent="0.25">
      <c r="B166" s="149"/>
    </row>
    <row r="167" spans="2:2" x14ac:dyDescent="0.25">
      <c r="B167" s="149"/>
    </row>
    <row r="168" spans="2:2" x14ac:dyDescent="0.25">
      <c r="B168" s="149"/>
    </row>
    <row r="169" spans="2:2" x14ac:dyDescent="0.25">
      <c r="B169" s="149"/>
    </row>
    <row r="170" spans="2:2" x14ac:dyDescent="0.25">
      <c r="B170" s="149"/>
    </row>
    <row r="171" spans="2:2" x14ac:dyDescent="0.25">
      <c r="B171" s="149"/>
    </row>
    <row r="172" spans="2:2" x14ac:dyDescent="0.25">
      <c r="B172" s="149"/>
    </row>
    <row r="173" spans="2:2" x14ac:dyDescent="0.25">
      <c r="B173" s="149"/>
    </row>
    <row r="174" spans="2:2" x14ac:dyDescent="0.25">
      <c r="B174" s="149"/>
    </row>
    <row r="175" spans="2:2" x14ac:dyDescent="0.25">
      <c r="B175" s="149"/>
    </row>
    <row r="176" spans="2:2" x14ac:dyDescent="0.25">
      <c r="B176" s="149"/>
    </row>
    <row r="177" spans="2:2" x14ac:dyDescent="0.25">
      <c r="B177" s="149"/>
    </row>
    <row r="178" spans="2:2" x14ac:dyDescent="0.25">
      <c r="B178" s="149"/>
    </row>
    <row r="179" spans="2:2" x14ac:dyDescent="0.25">
      <c r="B179" s="149"/>
    </row>
    <row r="180" spans="2:2" x14ac:dyDescent="0.25">
      <c r="B180" s="149"/>
    </row>
    <row r="181" spans="2:2" x14ac:dyDescent="0.25">
      <c r="B181" s="149"/>
    </row>
    <row r="182" spans="2:2" x14ac:dyDescent="0.25">
      <c r="B182" s="149"/>
    </row>
    <row r="183" spans="2:2" x14ac:dyDescent="0.25">
      <c r="B183" s="149"/>
    </row>
    <row r="184" spans="2:2" x14ac:dyDescent="0.25">
      <c r="B184" s="149"/>
    </row>
    <row r="185" spans="2:2" x14ac:dyDescent="0.25">
      <c r="B185" s="149"/>
    </row>
    <row r="186" spans="2:2" x14ac:dyDescent="0.25">
      <c r="B186" s="149"/>
    </row>
    <row r="187" spans="2:2" x14ac:dyDescent="0.25">
      <c r="B187" s="149"/>
    </row>
    <row r="188" spans="2:2" x14ac:dyDescent="0.25">
      <c r="B188" s="149"/>
    </row>
    <row r="189" spans="2:2" x14ac:dyDescent="0.25">
      <c r="B189" s="149"/>
    </row>
    <row r="190" spans="2:2" x14ac:dyDescent="0.25">
      <c r="B190" s="149"/>
    </row>
    <row r="191" spans="2:2" x14ac:dyDescent="0.25">
      <c r="B191" s="149"/>
    </row>
    <row r="192" spans="2:2" x14ac:dyDescent="0.25">
      <c r="B192" s="149"/>
    </row>
    <row r="193" spans="2:2" x14ac:dyDescent="0.25">
      <c r="B193" s="149"/>
    </row>
    <row r="194" spans="2:2" x14ac:dyDescent="0.25">
      <c r="B194" s="149"/>
    </row>
    <row r="195" spans="2:2" x14ac:dyDescent="0.25">
      <c r="B195" s="149"/>
    </row>
    <row r="196" spans="2:2" x14ac:dyDescent="0.25">
      <c r="B196" s="149"/>
    </row>
  </sheetData>
  <sheetProtection sheet="1" objects="1" scenarios="1"/>
  <customSheetViews>
    <customSheetView guid="{F50C5479-5CC4-4FD7-8319-543D29E829F0}" showGridLines="0" fitToPage="1">
      <pane xSplit="2" ySplit="4" topLeftCell="C22" activePane="bottomRight" state="frozen"/>
      <selection pane="bottomRight" activeCell="H55" sqref="H55"/>
      <rowBreaks count="1" manualBreakCount="1">
        <brk id="104" max="16383" man="1"/>
      </rowBreaks>
      <pageMargins left="0" right="0" top="0.78740157480314965" bottom="0.39370078740157483" header="0.51181102362204722" footer="0.39370078740157483"/>
      <printOptions horizontalCentered="1"/>
      <pageSetup paperSize="9" scale="56" orientation="portrait" r:id="rId1"/>
      <headerFooter alignWithMargins="0"/>
    </customSheetView>
  </customSheetViews>
  <mergeCells count="2">
    <mergeCell ref="F2:H2"/>
    <mergeCell ref="I2:K2"/>
  </mergeCells>
  <phoneticPr fontId="2" type="noConversion"/>
  <dataValidations count="1">
    <dataValidation type="decimal" allowBlank="1" showInputMessage="1" showErrorMessage="1" sqref="C17:K28 C33:K44 C52:K64 C69:K80 C85:K96 C6:K12">
      <formula1>-99999999999999900000</formula1>
      <formula2>99999999999999900000</formula2>
    </dataValidation>
  </dataValidations>
  <printOptions horizontalCentered="1"/>
  <pageMargins left="0" right="0" top="0.78740157480314965" bottom="0.39370078740157483" header="0.51181102362204722" footer="0.39370078740157483"/>
  <pageSetup paperSize="9" scale="75" orientation="landscape" r:id="rId2"/>
  <headerFooter alignWithMargins="0"/>
  <rowBreaks count="1" manualBreakCount="1">
    <brk id="104"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42"/>
    <pageSetUpPr fitToPage="1"/>
  </sheetPr>
  <dimension ref="A1:O70"/>
  <sheetViews>
    <sheetView showGridLines="0" zoomScaleNormal="100" workbookViewId="0">
      <pane xSplit="2" ySplit="3" topLeftCell="C4" activePane="bottomRight" state="frozen"/>
      <selection activeCell="F35" sqref="F35"/>
      <selection pane="topRight" activeCell="F35" sqref="F35"/>
      <selection pane="bottomLeft" activeCell="F35" sqref="F35"/>
      <selection pane="bottomRight" activeCell="E16" sqref="E16"/>
    </sheetView>
  </sheetViews>
  <sheetFormatPr defaultRowHeight="12.75" x14ac:dyDescent="0.25"/>
  <cols>
    <col min="1" max="1" width="38.85546875" style="149" customWidth="1"/>
    <col min="2" max="2" width="3" style="247" customWidth="1"/>
    <col min="3" max="3" width="4.140625" style="247" customWidth="1"/>
    <col min="4" max="4" width="9.28515625" style="149" customWidth="1"/>
    <col min="5" max="5" width="9.85546875" style="149" customWidth="1"/>
    <col min="6" max="9" width="9.28515625" style="149" customWidth="1"/>
    <col min="10"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9" ht="13.5" customHeight="1" x14ac:dyDescent="0.25">
      <c r="A1" s="147" t="str">
        <f>muni&amp;" - "&amp;TableA23</f>
        <v>MP315 Thembisile Hani - Supporting Table SA23 Salaries, allowances &amp; benefits (political office bearers/councillors/senior managers)</v>
      </c>
      <c r="B1" s="147"/>
      <c r="C1" s="147"/>
      <c r="D1" s="147"/>
      <c r="E1" s="147"/>
      <c r="F1" s="147"/>
      <c r="G1" s="147"/>
      <c r="H1" s="147"/>
      <c r="I1" s="147"/>
    </row>
    <row r="2" spans="1:9" ht="24.75" customHeight="1" x14ac:dyDescent="0.25">
      <c r="A2" s="980" t="s">
        <v>333</v>
      </c>
      <c r="B2" s="418" t="str">
        <f>head27</f>
        <v>Ref</v>
      </c>
      <c r="C2" s="2820" t="s">
        <v>2217</v>
      </c>
      <c r="D2" s="2839" t="s">
        <v>112</v>
      </c>
      <c r="E2" s="2525" t="s">
        <v>2219</v>
      </c>
      <c r="F2" s="2839" t="s">
        <v>113</v>
      </c>
      <c r="G2" s="2839" t="s">
        <v>756</v>
      </c>
      <c r="H2" s="830" t="s">
        <v>963</v>
      </c>
      <c r="I2" s="830" t="s">
        <v>964</v>
      </c>
    </row>
    <row r="3" spans="1:9" ht="29.25" customHeight="1" x14ac:dyDescent="0.25">
      <c r="A3" s="180" t="s">
        <v>774</v>
      </c>
      <c r="B3" s="1528"/>
      <c r="C3" s="2821"/>
      <c r="D3" s="2840"/>
      <c r="E3" s="2524" t="s">
        <v>2218</v>
      </c>
      <c r="F3" s="2840"/>
      <c r="G3" s="2840"/>
      <c r="H3" s="995"/>
      <c r="I3" s="995" t="s">
        <v>1803</v>
      </c>
    </row>
    <row r="4" spans="1:9" ht="11.25" customHeight="1" x14ac:dyDescent="0.25">
      <c r="A4" s="249" t="s">
        <v>111</v>
      </c>
      <c r="B4" s="182">
        <v>3</v>
      </c>
      <c r="C4" s="831"/>
      <c r="D4" s="832"/>
      <c r="E4" s="832"/>
      <c r="F4" s="832"/>
      <c r="G4" s="391"/>
      <c r="H4" s="392"/>
      <c r="I4" s="833"/>
    </row>
    <row r="5" spans="1:9" ht="11.25" customHeight="1" x14ac:dyDescent="0.25">
      <c r="A5" s="250" t="s">
        <v>717</v>
      </c>
      <c r="B5" s="182">
        <v>4</v>
      </c>
      <c r="C5" s="1942">
        <v>1</v>
      </c>
      <c r="D5" s="1661">
        <v>574582.31999999995</v>
      </c>
      <c r="E5" s="1661"/>
      <c r="F5" s="1661">
        <v>20868</v>
      </c>
      <c r="G5" s="2008"/>
      <c r="H5" s="2009"/>
      <c r="I5" s="833">
        <f t="shared" ref="I5:I10" si="0">SUM(D5:F5)</f>
        <v>595450.31999999995</v>
      </c>
    </row>
    <row r="6" spans="1:9" ht="11.25" customHeight="1" x14ac:dyDescent="0.25">
      <c r="A6" s="250" t="s">
        <v>1293</v>
      </c>
      <c r="B6" s="182"/>
      <c r="C6" s="1942">
        <v>1</v>
      </c>
      <c r="D6" s="1661">
        <v>538671.94550000003</v>
      </c>
      <c r="E6" s="1661"/>
      <c r="F6" s="1661">
        <v>20868</v>
      </c>
      <c r="G6" s="2008"/>
      <c r="H6" s="2009"/>
      <c r="I6" s="833">
        <f t="shared" si="0"/>
        <v>559539.94550000003</v>
      </c>
    </row>
    <row r="7" spans="1:9" ht="11.25" customHeight="1" x14ac:dyDescent="0.25">
      <c r="A7" s="250" t="s">
        <v>718</v>
      </c>
      <c r="B7" s="182"/>
      <c r="C7" s="1942">
        <v>1</v>
      </c>
      <c r="D7" s="1661">
        <v>718228.92050000001</v>
      </c>
      <c r="E7" s="1661"/>
      <c r="F7" s="1661">
        <v>20868</v>
      </c>
      <c r="G7" s="2008"/>
      <c r="H7" s="2009"/>
      <c r="I7" s="833">
        <f t="shared" si="0"/>
        <v>739096.92050000001</v>
      </c>
    </row>
    <row r="8" spans="1:9" ht="11.25" customHeight="1" x14ac:dyDescent="0.25">
      <c r="A8" s="250" t="s">
        <v>281</v>
      </c>
      <c r="B8" s="182"/>
      <c r="C8" s="1942"/>
      <c r="D8" s="1661">
        <v>0</v>
      </c>
      <c r="E8" s="1661"/>
      <c r="F8" s="1661"/>
      <c r="G8" s="2008"/>
      <c r="H8" s="2009"/>
      <c r="I8" s="833">
        <f t="shared" si="0"/>
        <v>0</v>
      </c>
    </row>
    <row r="9" spans="1:9" ht="11.25" customHeight="1" x14ac:dyDescent="0.25">
      <c r="A9" s="250" t="s">
        <v>460</v>
      </c>
      <c r="B9" s="182"/>
      <c r="C9" s="1942">
        <v>5</v>
      </c>
      <c r="D9" s="1661">
        <v>2693359.7275</v>
      </c>
      <c r="E9" s="1661"/>
      <c r="F9" s="1661">
        <v>104340</v>
      </c>
      <c r="G9" s="2008"/>
      <c r="H9" s="2009"/>
      <c r="I9" s="833">
        <f t="shared" si="0"/>
        <v>2797699.7275</v>
      </c>
    </row>
    <row r="10" spans="1:9" ht="11.25" customHeight="1" x14ac:dyDescent="0.25">
      <c r="A10" s="250" t="s">
        <v>461</v>
      </c>
      <c r="B10" s="182"/>
      <c r="C10" s="1942">
        <v>56</v>
      </c>
      <c r="D10" s="1661">
        <v>12432531.071999978</v>
      </c>
      <c r="E10" s="1661">
        <v>169573.53450002521</v>
      </c>
      <c r="F10" s="1661">
        <v>1168608</v>
      </c>
      <c r="G10" s="2008"/>
      <c r="H10" s="2009"/>
      <c r="I10" s="833">
        <f t="shared" si="0"/>
        <v>13770712.606500003</v>
      </c>
    </row>
    <row r="11" spans="1:9" ht="11.25" customHeight="1" x14ac:dyDescent="0.25">
      <c r="A11" s="792" t="str">
        <f>"Total "&amp;A4</f>
        <v>Total Councillors</v>
      </c>
      <c r="B11" s="793">
        <v>8</v>
      </c>
      <c r="C11" s="835">
        <f t="shared" ref="C11:I11" si="1">SUM(C5:C10)</f>
        <v>64</v>
      </c>
      <c r="D11" s="836">
        <f t="shared" si="1"/>
        <v>16957373.985499978</v>
      </c>
      <c r="E11" s="836">
        <f t="shared" si="1"/>
        <v>169573.53450002521</v>
      </c>
      <c r="F11" s="837">
        <f t="shared" si="1"/>
        <v>1335552</v>
      </c>
      <c r="G11" s="836"/>
      <c r="H11" s="841"/>
      <c r="I11" s="838">
        <f t="shared" si="1"/>
        <v>18462499.520000003</v>
      </c>
    </row>
    <row r="12" spans="1:9" x14ac:dyDescent="0.25">
      <c r="A12" s="273"/>
      <c r="B12" s="182"/>
      <c r="C12" s="831"/>
      <c r="D12" s="832"/>
      <c r="E12" s="391"/>
      <c r="F12" s="832"/>
      <c r="G12" s="391"/>
      <c r="H12" s="392"/>
      <c r="I12" s="833"/>
    </row>
    <row r="13" spans="1:9" ht="11.25" customHeight="1" x14ac:dyDescent="0.25">
      <c r="A13" s="249" t="s">
        <v>1291</v>
      </c>
      <c r="B13" s="182">
        <v>5</v>
      </c>
      <c r="C13" s="831"/>
      <c r="D13" s="832"/>
      <c r="E13" s="391"/>
      <c r="F13" s="832"/>
      <c r="G13" s="391"/>
      <c r="H13" s="392"/>
      <c r="I13" s="833"/>
    </row>
    <row r="14" spans="1:9" ht="11.25" customHeight="1" x14ac:dyDescent="0.25">
      <c r="A14" s="1169" t="s">
        <v>114</v>
      </c>
      <c r="B14" s="182"/>
      <c r="C14" s="1942"/>
      <c r="D14" s="1661">
        <v>1225698.1399999999</v>
      </c>
      <c r="E14" s="1661"/>
      <c r="F14" s="1661">
        <v>27000</v>
      </c>
      <c r="G14" s="1661"/>
      <c r="H14" s="2009"/>
      <c r="I14" s="833">
        <f t="shared" ref="I14:I19" si="2">SUM(D14:H14)</f>
        <v>1252698.1399999999</v>
      </c>
    </row>
    <row r="15" spans="1:9" ht="11.25" customHeight="1" x14ac:dyDescent="0.25">
      <c r="A15" s="1169" t="s">
        <v>115</v>
      </c>
      <c r="B15" s="182"/>
      <c r="C15" s="1942"/>
      <c r="D15" s="1661">
        <v>1122892.98</v>
      </c>
      <c r="E15" s="1661"/>
      <c r="F15" s="1661">
        <v>15000</v>
      </c>
      <c r="G15" s="1661"/>
      <c r="H15" s="2009"/>
      <c r="I15" s="833">
        <f t="shared" si="2"/>
        <v>1137892.98</v>
      </c>
    </row>
    <row r="16" spans="1:9" ht="11.25" customHeight="1" x14ac:dyDescent="0.25">
      <c r="A16" s="1914" t="s">
        <v>2897</v>
      </c>
      <c r="B16" s="182"/>
      <c r="C16" s="1942"/>
      <c r="D16" s="1661">
        <v>668036.21039999998</v>
      </c>
      <c r="E16" s="1661"/>
      <c r="F16" s="1661">
        <v>15000</v>
      </c>
      <c r="G16" s="1661"/>
      <c r="H16" s="2009"/>
      <c r="I16" s="833">
        <f t="shared" si="2"/>
        <v>683036.21039999998</v>
      </c>
    </row>
    <row r="17" spans="1:9" ht="11.25" customHeight="1" x14ac:dyDescent="0.25">
      <c r="A17" s="1914" t="s">
        <v>2898</v>
      </c>
      <c r="B17" s="182"/>
      <c r="C17" s="1942"/>
      <c r="D17" s="1661">
        <v>748535.23919999995</v>
      </c>
      <c r="E17" s="1661"/>
      <c r="F17" s="1661">
        <v>15000</v>
      </c>
      <c r="G17" s="1661"/>
      <c r="H17" s="2009"/>
      <c r="I17" s="833">
        <f t="shared" si="2"/>
        <v>763535.23919999995</v>
      </c>
    </row>
    <row r="18" spans="1:9" ht="11.25" customHeight="1" x14ac:dyDescent="0.25">
      <c r="A18" s="1914" t="s">
        <v>2899</v>
      </c>
      <c r="B18" s="182"/>
      <c r="C18" s="1942"/>
      <c r="D18" s="1661">
        <v>707079.74159999995</v>
      </c>
      <c r="E18" s="1661"/>
      <c r="F18" s="1661">
        <v>15000</v>
      </c>
      <c r="G18" s="1661"/>
      <c r="H18" s="2009"/>
      <c r="I18" s="833">
        <f t="shared" si="2"/>
        <v>722079.74159999995</v>
      </c>
    </row>
    <row r="19" spans="1:9" ht="11.25" customHeight="1" x14ac:dyDescent="0.25">
      <c r="A19" s="1914"/>
      <c r="B19" s="182"/>
      <c r="C19" s="1942"/>
      <c r="D19" s="1661"/>
      <c r="E19" s="1661"/>
      <c r="F19" s="1661"/>
      <c r="G19" s="1661"/>
      <c r="H19" s="2009"/>
      <c r="I19" s="833">
        <f t="shared" si="2"/>
        <v>0</v>
      </c>
    </row>
    <row r="20" spans="1:9" ht="5.0999999999999996" customHeight="1" x14ac:dyDescent="0.25">
      <c r="A20" s="273"/>
      <c r="B20" s="182"/>
      <c r="C20" s="2088"/>
      <c r="D20" s="2089"/>
      <c r="E20" s="2090"/>
      <c r="F20" s="2089"/>
      <c r="G20" s="2090"/>
      <c r="H20" s="2091"/>
      <c r="I20" s="833"/>
    </row>
    <row r="21" spans="1:9" ht="11.25" customHeight="1" x14ac:dyDescent="0.25">
      <c r="A21" s="953" t="s">
        <v>324</v>
      </c>
      <c r="B21" s="182"/>
      <c r="C21" s="831"/>
      <c r="D21" s="832"/>
      <c r="E21" s="391"/>
      <c r="F21" s="832"/>
      <c r="G21" s="391"/>
      <c r="H21" s="392"/>
      <c r="I21" s="833"/>
    </row>
    <row r="22" spans="1:9" ht="11.25" customHeight="1" x14ac:dyDescent="0.25">
      <c r="A22" s="1914"/>
      <c r="B22" s="182"/>
      <c r="C22" s="1942"/>
      <c r="D22" s="1661"/>
      <c r="E22" s="1661"/>
      <c r="F22" s="1661"/>
      <c r="G22" s="1661"/>
      <c r="H22" s="2009"/>
      <c r="I22" s="833">
        <f>SUM(D22:H22)</f>
        <v>0</v>
      </c>
    </row>
    <row r="23" spans="1:9" ht="11.25" customHeight="1" x14ac:dyDescent="0.25">
      <c r="A23" s="1914"/>
      <c r="B23" s="182"/>
      <c r="C23" s="1942"/>
      <c r="D23" s="1661"/>
      <c r="E23" s="1661"/>
      <c r="F23" s="1661"/>
      <c r="G23" s="1661"/>
      <c r="H23" s="2009"/>
      <c r="I23" s="833">
        <f t="shared" ref="I23:I32" si="3">SUM(D23:H23)</f>
        <v>0</v>
      </c>
    </row>
    <row r="24" spans="1:9" ht="11.25" customHeight="1" x14ac:dyDescent="0.25">
      <c r="A24" s="1914"/>
      <c r="B24" s="182"/>
      <c r="C24" s="1942"/>
      <c r="D24" s="1661"/>
      <c r="E24" s="1661"/>
      <c r="F24" s="1661"/>
      <c r="G24" s="1661"/>
      <c r="H24" s="2009"/>
      <c r="I24" s="833">
        <f t="shared" si="3"/>
        <v>0</v>
      </c>
    </row>
    <row r="25" spans="1:9" ht="11.25" customHeight="1" x14ac:dyDescent="0.25">
      <c r="A25" s="1914"/>
      <c r="B25" s="182"/>
      <c r="C25" s="1942"/>
      <c r="D25" s="1661"/>
      <c r="E25" s="1661"/>
      <c r="F25" s="1661"/>
      <c r="G25" s="1661"/>
      <c r="H25" s="2009"/>
      <c r="I25" s="833">
        <f t="shared" si="3"/>
        <v>0</v>
      </c>
    </row>
    <row r="26" spans="1:9" ht="11.25" customHeight="1" x14ac:dyDescent="0.25">
      <c r="A26" s="1914"/>
      <c r="B26" s="182"/>
      <c r="C26" s="1942"/>
      <c r="D26" s="1661"/>
      <c r="E26" s="1661"/>
      <c r="F26" s="1661"/>
      <c r="G26" s="1661"/>
      <c r="H26" s="2009"/>
      <c r="I26" s="833">
        <f t="shared" si="3"/>
        <v>0</v>
      </c>
    </row>
    <row r="27" spans="1:9" ht="11.25" customHeight="1" x14ac:dyDescent="0.25">
      <c r="A27" s="1914"/>
      <c r="B27" s="182"/>
      <c r="C27" s="1942"/>
      <c r="D27" s="1661"/>
      <c r="E27" s="1661"/>
      <c r="F27" s="1661"/>
      <c r="G27" s="1661"/>
      <c r="H27" s="2009"/>
      <c r="I27" s="833">
        <f t="shared" si="3"/>
        <v>0</v>
      </c>
    </row>
    <row r="28" spans="1:9" ht="11.25" customHeight="1" x14ac:dyDescent="0.25">
      <c r="A28" s="1914"/>
      <c r="B28" s="182"/>
      <c r="C28" s="1942"/>
      <c r="D28" s="1661"/>
      <c r="E28" s="1661"/>
      <c r="F28" s="1661"/>
      <c r="G28" s="1661"/>
      <c r="H28" s="2009"/>
      <c r="I28" s="833">
        <f t="shared" si="3"/>
        <v>0</v>
      </c>
    </row>
    <row r="29" spans="1:9" ht="11.25" customHeight="1" x14ac:dyDescent="0.25">
      <c r="A29" s="1914"/>
      <c r="B29" s="182"/>
      <c r="C29" s="1942"/>
      <c r="D29" s="1661"/>
      <c r="E29" s="1661"/>
      <c r="F29" s="1661"/>
      <c r="G29" s="1661"/>
      <c r="H29" s="2009"/>
      <c r="I29" s="833">
        <f t="shared" si="3"/>
        <v>0</v>
      </c>
    </row>
    <row r="30" spans="1:9" ht="11.25" customHeight="1" x14ac:dyDescent="0.25">
      <c r="A30" s="1914"/>
      <c r="B30" s="182"/>
      <c r="C30" s="1942"/>
      <c r="D30" s="1661"/>
      <c r="E30" s="1661"/>
      <c r="F30" s="1661"/>
      <c r="G30" s="1661"/>
      <c r="H30" s="2009"/>
      <c r="I30" s="833">
        <f t="shared" si="3"/>
        <v>0</v>
      </c>
    </row>
    <row r="31" spans="1:9" ht="11.25" customHeight="1" x14ac:dyDescent="0.25">
      <c r="A31" s="1914"/>
      <c r="B31" s="182"/>
      <c r="C31" s="1942"/>
      <c r="D31" s="1661"/>
      <c r="E31" s="1661"/>
      <c r="F31" s="1661"/>
      <c r="G31" s="1661"/>
      <c r="H31" s="2009"/>
      <c r="I31" s="833">
        <f t="shared" si="3"/>
        <v>0</v>
      </c>
    </row>
    <row r="32" spans="1:9" ht="11.25" customHeight="1" x14ac:dyDescent="0.25">
      <c r="A32" s="1914"/>
      <c r="B32" s="182"/>
      <c r="C32" s="1942"/>
      <c r="D32" s="1661"/>
      <c r="E32" s="1661"/>
      <c r="F32" s="1661"/>
      <c r="G32" s="1661"/>
      <c r="H32" s="2009"/>
      <c r="I32" s="833">
        <f t="shared" si="3"/>
        <v>0</v>
      </c>
    </row>
    <row r="33" spans="1:9" ht="11.25" customHeight="1" x14ac:dyDescent="0.25">
      <c r="A33" s="1649"/>
      <c r="B33" s="182"/>
      <c r="C33" s="1942"/>
      <c r="D33" s="1661"/>
      <c r="E33" s="1661"/>
      <c r="F33" s="1661"/>
      <c r="G33" s="1661"/>
      <c r="H33" s="2009"/>
      <c r="I33" s="833">
        <f>SUM(D33:H33)</f>
        <v>0</v>
      </c>
    </row>
    <row r="34" spans="1:9" ht="11.25" customHeight="1" x14ac:dyDescent="0.25">
      <c r="A34" s="1649"/>
      <c r="B34" s="182"/>
      <c r="C34" s="1942"/>
      <c r="D34" s="1661"/>
      <c r="E34" s="1661"/>
      <c r="F34" s="1661"/>
      <c r="G34" s="1661"/>
      <c r="H34" s="2009"/>
      <c r="I34" s="833">
        <f>SUM(D34:H34)</f>
        <v>0</v>
      </c>
    </row>
    <row r="35" spans="1:9" ht="11.25" customHeight="1" x14ac:dyDescent="0.25">
      <c r="A35" s="792" t="str">
        <f>"Total "&amp;A13</f>
        <v>Total Senior Managers of the Municipality</v>
      </c>
      <c r="B35" s="793" t="s">
        <v>2252</v>
      </c>
      <c r="C35" s="840">
        <f>SUM(C14:C34)</f>
        <v>0</v>
      </c>
      <c r="D35" s="837">
        <f>SUM(D14:D34)</f>
        <v>4472242.3112000003</v>
      </c>
      <c r="E35" s="836">
        <f>SUM(E14:E34)</f>
        <v>0</v>
      </c>
      <c r="F35" s="837">
        <f>SUM(F14:F34)</f>
        <v>87000</v>
      </c>
      <c r="G35" s="836">
        <f>SUM(G14:G34)</f>
        <v>0</v>
      </c>
      <c r="H35" s="841"/>
      <c r="I35" s="838">
        <f>SUM(I14:I34)</f>
        <v>4559242.3112000003</v>
      </c>
    </row>
    <row r="36" spans="1:9" x14ac:dyDescent="0.25">
      <c r="A36" s="273"/>
      <c r="B36" s="182"/>
      <c r="C36" s="831"/>
      <c r="D36" s="832"/>
      <c r="E36" s="391"/>
      <c r="F36" s="832"/>
      <c r="G36" s="391"/>
      <c r="H36" s="392"/>
      <c r="I36" s="833"/>
    </row>
    <row r="37" spans="1:9" ht="11.25" customHeight="1" x14ac:dyDescent="0.25">
      <c r="A37" s="249" t="s">
        <v>757</v>
      </c>
      <c r="B37" s="182" t="s">
        <v>2221</v>
      </c>
      <c r="C37" s="831"/>
      <c r="D37" s="832"/>
      <c r="E37" s="391"/>
      <c r="F37" s="832"/>
      <c r="G37" s="391"/>
      <c r="H37" s="392"/>
      <c r="I37" s="833"/>
    </row>
    <row r="38" spans="1:9" ht="11.25" customHeight="1" x14ac:dyDescent="0.25">
      <c r="A38" s="254" t="s">
        <v>116</v>
      </c>
      <c r="B38" s="182"/>
      <c r="C38" s="834"/>
      <c r="D38" s="391"/>
      <c r="E38" s="391"/>
      <c r="F38" s="391"/>
      <c r="G38" s="391"/>
      <c r="H38" s="392"/>
      <c r="I38" s="842"/>
    </row>
    <row r="39" spans="1:9" ht="11.25" customHeight="1" x14ac:dyDescent="0.25">
      <c r="A39" s="1914"/>
      <c r="B39" s="182"/>
      <c r="C39" s="1942"/>
      <c r="D39" s="1661"/>
      <c r="E39" s="1661"/>
      <c r="F39" s="1661"/>
      <c r="G39" s="1661"/>
      <c r="H39" s="2009"/>
      <c r="I39" s="842">
        <f>SUM(D39:G39)</f>
        <v>0</v>
      </c>
    </row>
    <row r="40" spans="1:9" ht="11.25" customHeight="1" x14ac:dyDescent="0.25">
      <c r="A40" s="1914"/>
      <c r="B40" s="182"/>
      <c r="C40" s="1942"/>
      <c r="D40" s="1661"/>
      <c r="E40" s="1661"/>
      <c r="F40" s="1661"/>
      <c r="G40" s="1661"/>
      <c r="H40" s="2009"/>
      <c r="I40" s="842">
        <f t="shared" ref="I40:I54" si="4">SUM(D40:G40)</f>
        <v>0</v>
      </c>
    </row>
    <row r="41" spans="1:9" ht="11.25" customHeight="1" x14ac:dyDescent="0.25">
      <c r="A41" s="1914"/>
      <c r="B41" s="182"/>
      <c r="C41" s="1942"/>
      <c r="D41" s="1661"/>
      <c r="E41" s="1661"/>
      <c r="F41" s="1661"/>
      <c r="G41" s="1661"/>
      <c r="H41" s="2009"/>
      <c r="I41" s="842">
        <f t="shared" si="4"/>
        <v>0</v>
      </c>
    </row>
    <row r="42" spans="1:9" ht="11.25" customHeight="1" x14ac:dyDescent="0.25">
      <c r="A42" s="1914"/>
      <c r="B42" s="182"/>
      <c r="C42" s="1942"/>
      <c r="D42" s="1661"/>
      <c r="E42" s="1661"/>
      <c r="F42" s="1661"/>
      <c r="G42" s="1661"/>
      <c r="H42" s="2009"/>
      <c r="I42" s="842">
        <f t="shared" si="4"/>
        <v>0</v>
      </c>
    </row>
    <row r="43" spans="1:9" ht="11.25" customHeight="1" x14ac:dyDescent="0.25">
      <c r="A43" s="1914"/>
      <c r="B43" s="182"/>
      <c r="C43" s="1942"/>
      <c r="D43" s="1661"/>
      <c r="E43" s="1661"/>
      <c r="F43" s="1661"/>
      <c r="G43" s="1661"/>
      <c r="H43" s="2009"/>
      <c r="I43" s="842">
        <f t="shared" si="4"/>
        <v>0</v>
      </c>
    </row>
    <row r="44" spans="1:9" ht="11.25" customHeight="1" x14ac:dyDescent="0.25">
      <c r="A44" s="1914"/>
      <c r="B44" s="182"/>
      <c r="C44" s="1942"/>
      <c r="D44" s="1661"/>
      <c r="E44" s="1661"/>
      <c r="F44" s="1661"/>
      <c r="G44" s="1661"/>
      <c r="H44" s="2009"/>
      <c r="I44" s="842">
        <f t="shared" si="4"/>
        <v>0</v>
      </c>
    </row>
    <row r="45" spans="1:9" ht="11.25" customHeight="1" x14ac:dyDescent="0.25">
      <c r="A45" s="1914"/>
      <c r="B45" s="182"/>
      <c r="C45" s="1942"/>
      <c r="D45" s="1661"/>
      <c r="E45" s="1661"/>
      <c r="F45" s="1661"/>
      <c r="G45" s="1661"/>
      <c r="H45" s="2009"/>
      <c r="I45" s="842">
        <f t="shared" si="4"/>
        <v>0</v>
      </c>
    </row>
    <row r="46" spans="1:9" ht="11.25" customHeight="1" x14ac:dyDescent="0.25">
      <c r="A46" s="1914"/>
      <c r="B46" s="182"/>
      <c r="C46" s="1942"/>
      <c r="D46" s="1661"/>
      <c r="E46" s="1661"/>
      <c r="F46" s="1661"/>
      <c r="G46" s="1661"/>
      <c r="H46" s="2009"/>
      <c r="I46" s="842">
        <f t="shared" si="4"/>
        <v>0</v>
      </c>
    </row>
    <row r="47" spans="1:9" ht="11.25" customHeight="1" x14ac:dyDescent="0.25">
      <c r="A47" s="1914"/>
      <c r="B47" s="182"/>
      <c r="C47" s="1942"/>
      <c r="D47" s="1661"/>
      <c r="E47" s="1661"/>
      <c r="F47" s="1661"/>
      <c r="G47" s="1661"/>
      <c r="H47" s="2009"/>
      <c r="I47" s="842">
        <f t="shared" si="4"/>
        <v>0</v>
      </c>
    </row>
    <row r="48" spans="1:9" ht="11.25" customHeight="1" x14ac:dyDescent="0.25">
      <c r="A48" s="1914"/>
      <c r="B48" s="182"/>
      <c r="C48" s="1942"/>
      <c r="D48" s="1661"/>
      <c r="E48" s="1661"/>
      <c r="F48" s="1661"/>
      <c r="G48" s="1661"/>
      <c r="H48" s="2009"/>
      <c r="I48" s="842">
        <f t="shared" si="4"/>
        <v>0</v>
      </c>
    </row>
    <row r="49" spans="1:15" ht="11.25" customHeight="1" x14ac:dyDescent="0.25">
      <c r="A49" s="1914"/>
      <c r="B49" s="182"/>
      <c r="C49" s="1942"/>
      <c r="D49" s="1661"/>
      <c r="E49" s="1661"/>
      <c r="F49" s="1661"/>
      <c r="G49" s="1661"/>
      <c r="H49" s="2009"/>
      <c r="I49" s="842">
        <f t="shared" si="4"/>
        <v>0</v>
      </c>
    </row>
    <row r="50" spans="1:15" ht="11.25" customHeight="1" x14ac:dyDescent="0.25">
      <c r="A50" s="1914"/>
      <c r="B50" s="182"/>
      <c r="C50" s="1942"/>
      <c r="D50" s="1661"/>
      <c r="E50" s="1661"/>
      <c r="F50" s="1661"/>
      <c r="G50" s="1661"/>
      <c r="H50" s="2009"/>
      <c r="I50" s="842">
        <f t="shared" si="4"/>
        <v>0</v>
      </c>
    </row>
    <row r="51" spans="1:15" ht="11.25" customHeight="1" x14ac:dyDescent="0.25">
      <c r="A51" s="1914"/>
      <c r="B51" s="182"/>
      <c r="C51" s="1942"/>
      <c r="D51" s="1661"/>
      <c r="E51" s="1661"/>
      <c r="F51" s="1661"/>
      <c r="G51" s="1661"/>
      <c r="H51" s="2009"/>
      <c r="I51" s="842">
        <f t="shared" si="4"/>
        <v>0</v>
      </c>
    </row>
    <row r="52" spans="1:15" ht="11.25" customHeight="1" x14ac:dyDescent="0.25">
      <c r="A52" s="1914"/>
      <c r="B52" s="182"/>
      <c r="C52" s="1942"/>
      <c r="D52" s="1661"/>
      <c r="E52" s="1661"/>
      <c r="F52" s="1661"/>
      <c r="G52" s="1661"/>
      <c r="H52" s="2009"/>
      <c r="I52" s="842">
        <f t="shared" si="4"/>
        <v>0</v>
      </c>
    </row>
    <row r="53" spans="1:15" ht="11.25" customHeight="1" x14ac:dyDescent="0.25">
      <c r="A53" s="1914"/>
      <c r="B53" s="182"/>
      <c r="C53" s="1942"/>
      <c r="D53" s="1661"/>
      <c r="E53" s="1661"/>
      <c r="F53" s="1661"/>
      <c r="G53" s="1661"/>
      <c r="H53" s="2009"/>
      <c r="I53" s="842">
        <f t="shared" si="4"/>
        <v>0</v>
      </c>
    </row>
    <row r="54" spans="1:15" ht="11.25" customHeight="1" x14ac:dyDescent="0.25">
      <c r="A54" s="1914"/>
      <c r="B54" s="182"/>
      <c r="C54" s="1942"/>
      <c r="D54" s="1661"/>
      <c r="E54" s="1661"/>
      <c r="F54" s="1661"/>
      <c r="G54" s="1661"/>
      <c r="H54" s="2009"/>
      <c r="I54" s="842">
        <f t="shared" si="4"/>
        <v>0</v>
      </c>
    </row>
    <row r="55" spans="1:15" ht="11.25" customHeight="1" x14ac:dyDescent="0.25">
      <c r="A55" s="792" t="s">
        <v>325</v>
      </c>
      <c r="B55" s="793" t="s">
        <v>2252</v>
      </c>
      <c r="C55" s="840">
        <f>SUM(C38:C54)</f>
        <v>0</v>
      </c>
      <c r="D55" s="837">
        <f t="shared" ref="D55:I55" si="5">SUM(D39:D54)</f>
        <v>0</v>
      </c>
      <c r="E55" s="836">
        <f t="shared" si="5"/>
        <v>0</v>
      </c>
      <c r="F55" s="837">
        <f t="shared" si="5"/>
        <v>0</v>
      </c>
      <c r="G55" s="836">
        <f t="shared" si="5"/>
        <v>0</v>
      </c>
      <c r="H55" s="841"/>
      <c r="I55" s="838">
        <f t="shared" si="5"/>
        <v>0</v>
      </c>
    </row>
    <row r="56" spans="1:15" x14ac:dyDescent="0.25">
      <c r="A56" s="273"/>
      <c r="B56" s="182"/>
      <c r="C56" s="831"/>
      <c r="D56" s="832"/>
      <c r="E56" s="832"/>
      <c r="F56" s="832"/>
      <c r="G56" s="832"/>
      <c r="H56" s="843"/>
      <c r="I56" s="833"/>
    </row>
    <row r="57" spans="1:15" s="764" customFormat="1" ht="25.5" x14ac:dyDescent="0.2">
      <c r="A57" s="844" t="s">
        <v>282</v>
      </c>
      <c r="B57" s="769">
        <v>10</v>
      </c>
      <c r="C57" s="845">
        <f t="shared" ref="C57:I57" si="6">C11+C35+C55</f>
        <v>64</v>
      </c>
      <c r="D57" s="846">
        <f t="shared" si="6"/>
        <v>21429616.296699978</v>
      </c>
      <c r="E57" s="846">
        <f t="shared" si="6"/>
        <v>169573.53450002521</v>
      </c>
      <c r="F57" s="846">
        <f t="shared" si="6"/>
        <v>1422552</v>
      </c>
      <c r="G57" s="846">
        <f t="shared" si="6"/>
        <v>0</v>
      </c>
      <c r="H57" s="847"/>
      <c r="I57" s="848">
        <f t="shared" si="6"/>
        <v>23021741.831200004</v>
      </c>
    </row>
    <row r="58" spans="1:15" ht="5.0999999999999996" customHeight="1" x14ac:dyDescent="0.25">
      <c r="A58" s="652"/>
      <c r="B58" s="236"/>
      <c r="C58" s="236"/>
      <c r="D58" s="309"/>
      <c r="E58" s="309"/>
      <c r="F58" s="309"/>
      <c r="G58" s="309"/>
      <c r="H58" s="309"/>
      <c r="I58" s="309"/>
      <c r="J58" s="246"/>
      <c r="K58" s="246"/>
      <c r="L58" s="246"/>
    </row>
    <row r="59" spans="1:15" s="708" customFormat="1" x14ac:dyDescent="0.25">
      <c r="A59" s="1257" t="str">
        <f>head27a</f>
        <v>References</v>
      </c>
      <c r="B59" s="1033"/>
      <c r="C59" s="1033"/>
      <c r="D59" s="1075"/>
      <c r="E59" s="1075"/>
      <c r="F59" s="1075"/>
      <c r="G59" s="1075"/>
      <c r="H59" s="1075"/>
      <c r="I59" s="1075"/>
      <c r="J59" s="1057"/>
      <c r="K59" s="1057"/>
      <c r="L59" s="1057"/>
    </row>
    <row r="60" spans="1:15" s="1082" customFormat="1" x14ac:dyDescent="0.25">
      <c r="A60" s="2522" t="s">
        <v>962</v>
      </c>
      <c r="B60" s="2523"/>
      <c r="C60" s="2523"/>
    </row>
    <row r="61" spans="1:15" s="708" customFormat="1" x14ac:dyDescent="0.25">
      <c r="A61" s="1414" t="s">
        <v>2222</v>
      </c>
      <c r="B61" s="1043"/>
      <c r="C61" s="1043"/>
      <c r="O61" s="1082"/>
    </row>
    <row r="62" spans="1:15" s="708" customFormat="1" x14ac:dyDescent="0.25">
      <c r="A62" s="1414" t="s">
        <v>2223</v>
      </c>
      <c r="B62" s="1043"/>
      <c r="C62" s="1043"/>
    </row>
    <row r="63" spans="1:15" s="708" customFormat="1" x14ac:dyDescent="0.25">
      <c r="A63" s="1414" t="s">
        <v>2224</v>
      </c>
      <c r="B63" s="1043"/>
      <c r="C63" s="1043"/>
    </row>
    <row r="64" spans="1:15" s="708" customFormat="1" x14ac:dyDescent="0.25">
      <c r="A64" s="1414" t="s">
        <v>459</v>
      </c>
      <c r="B64" s="1043"/>
      <c r="C64" s="1043"/>
    </row>
    <row r="65" spans="1:3" s="708" customFormat="1" x14ac:dyDescent="0.25">
      <c r="A65" s="1414" t="s">
        <v>2225</v>
      </c>
      <c r="B65" s="1043"/>
      <c r="C65" s="1043"/>
    </row>
    <row r="66" spans="1:3" s="708" customFormat="1" x14ac:dyDescent="0.25">
      <c r="A66" s="1414" t="s">
        <v>2226</v>
      </c>
      <c r="B66" s="1043"/>
      <c r="C66" s="1043"/>
    </row>
    <row r="67" spans="1:3" s="708" customFormat="1" x14ac:dyDescent="0.25">
      <c r="A67" s="1414" t="s">
        <v>2227</v>
      </c>
      <c r="B67" s="1043"/>
      <c r="C67" s="1043"/>
    </row>
    <row r="68" spans="1:3" s="708" customFormat="1" x14ac:dyDescent="0.25">
      <c r="A68" s="1414" t="s">
        <v>2228</v>
      </c>
      <c r="B68" s="1043"/>
      <c r="C68" s="1043"/>
    </row>
    <row r="69" spans="1:3" s="708" customFormat="1" x14ac:dyDescent="0.25">
      <c r="A69" s="1414" t="s">
        <v>2229</v>
      </c>
      <c r="B69" s="1043"/>
      <c r="C69" s="1043"/>
    </row>
    <row r="70" spans="1:3" s="708" customFormat="1" x14ac:dyDescent="0.25">
      <c r="A70" s="1414" t="s">
        <v>2251</v>
      </c>
      <c r="B70" s="1043"/>
      <c r="C70" s="1043"/>
    </row>
  </sheetData>
  <sheetProtection sheet="1" objects="1" scenarios="1"/>
  <customSheetViews>
    <customSheetView guid="{F50C5479-5CC4-4FD7-8319-543D29E829F0}" showGridLines="0" fitToPage="1">
      <pane xSplit="2" ySplit="3" topLeftCell="C30" activePane="bottomRight" state="frozen"/>
      <selection pane="bottomRight" activeCell="A14" sqref="A14:A15"/>
      <pageMargins left="0" right="0" top="0.78740157480314965" bottom="0.59055118110236227" header="0.51181102362204722" footer="0.43307086614173229"/>
      <printOptions horizontalCentered="1"/>
      <pageSetup paperSize="9" scale="90" orientation="portrait" r:id="rId1"/>
      <headerFooter alignWithMargins="0"/>
    </customSheetView>
  </customSheetViews>
  <mergeCells count="4">
    <mergeCell ref="C2:C3"/>
    <mergeCell ref="F2:F3"/>
    <mergeCell ref="D2:D3"/>
    <mergeCell ref="G2:G3"/>
  </mergeCells>
  <phoneticPr fontId="2"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rintOptions horizontalCentered="1"/>
  <pageMargins left="0" right="0" top="0.78740157480314965" bottom="0.59055118110236227" header="0.51181102362204722" footer="0.43307086614173229"/>
  <pageSetup paperSize="9" scale="90" orientation="portrait" r:id="rId2"/>
  <headerFooter alignWithMargins="0"/>
  <ignoredErrors>
    <ignoredError sqref="E3 I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42"/>
    <pageSetUpPr fitToPage="1"/>
  </sheetPr>
  <dimension ref="A1:O53"/>
  <sheetViews>
    <sheetView showGridLines="0" zoomScaleNormal="100" workbookViewId="0">
      <pane ySplit="3" topLeftCell="A16" activePane="bottomLeft" state="frozen"/>
      <selection activeCell="F35" sqref="F35"/>
      <selection pane="bottomLeft" activeCell="K32" sqref="K32"/>
    </sheetView>
  </sheetViews>
  <sheetFormatPr defaultRowHeight="12.75" x14ac:dyDescent="0.25"/>
  <cols>
    <col min="1" max="1" width="37.7109375" style="149" customWidth="1"/>
    <col min="2" max="2" width="3.5703125" style="247" customWidth="1"/>
    <col min="3" max="11" width="8.7109375" style="149" customWidth="1"/>
    <col min="12" max="12" width="9.855468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"&amp;TableA24</f>
        <v>MP315 Thembisile Hani - Supporting Table SA24 Summary of personnel numbers</v>
      </c>
      <c r="B1" s="147"/>
      <c r="C1" s="147"/>
      <c r="D1" s="147"/>
      <c r="E1" s="147"/>
      <c r="F1" s="147"/>
      <c r="G1" s="147"/>
      <c r="H1" s="147"/>
      <c r="I1" s="147"/>
      <c r="J1" s="147"/>
      <c r="K1" s="147"/>
    </row>
    <row r="2" spans="1:12" ht="28.5" customHeight="1" x14ac:dyDescent="0.25">
      <c r="A2" s="980" t="s">
        <v>678</v>
      </c>
      <c r="B2" s="418" t="str">
        <f>head27</f>
        <v>Ref</v>
      </c>
      <c r="C2" s="2841" t="str">
        <f>Head1</f>
        <v>2013/14</v>
      </c>
      <c r="D2" s="2842"/>
      <c r="E2" s="2843"/>
      <c r="F2" s="2766" t="str">
        <f>Head2</f>
        <v>Current Year 2014/15</v>
      </c>
      <c r="G2" s="2767"/>
      <c r="H2" s="2767"/>
      <c r="I2" s="2763" t="str">
        <f>Head9</f>
        <v>Budget Year 2015/16</v>
      </c>
      <c r="J2" s="2764"/>
      <c r="K2" s="2765"/>
      <c r="L2" s="369"/>
    </row>
    <row r="3" spans="1:12" ht="25.5" x14ac:dyDescent="0.25">
      <c r="A3" s="180" t="s">
        <v>1674</v>
      </c>
      <c r="B3" s="981" t="s">
        <v>1936</v>
      </c>
      <c r="C3" s="389" t="s">
        <v>445</v>
      </c>
      <c r="D3" s="994" t="s">
        <v>944</v>
      </c>
      <c r="E3" s="390" t="s">
        <v>446</v>
      </c>
      <c r="F3" s="389" t="s">
        <v>445</v>
      </c>
      <c r="G3" s="994" t="s">
        <v>944</v>
      </c>
      <c r="H3" s="390" t="s">
        <v>446</v>
      </c>
      <c r="I3" s="389" t="s">
        <v>445</v>
      </c>
      <c r="J3" s="994" t="s">
        <v>944</v>
      </c>
      <c r="K3" s="390" t="s">
        <v>446</v>
      </c>
      <c r="L3" s="369"/>
    </row>
    <row r="4" spans="1:12" x14ac:dyDescent="0.25">
      <c r="A4" s="649" t="s">
        <v>447</v>
      </c>
      <c r="B4" s="182"/>
      <c r="C4" s="832"/>
      <c r="D4" s="832"/>
      <c r="E4" s="849"/>
      <c r="F4" s="850"/>
      <c r="G4" s="832"/>
      <c r="H4" s="851"/>
      <c r="I4" s="843"/>
      <c r="J4" s="832"/>
      <c r="K4" s="849"/>
      <c r="L4" s="369"/>
    </row>
    <row r="5" spans="1:12" ht="11.25" customHeight="1" x14ac:dyDescent="0.25">
      <c r="A5" s="250" t="s">
        <v>905</v>
      </c>
      <c r="B5" s="182"/>
      <c r="C5" s="1661">
        <v>60</v>
      </c>
      <c r="D5" s="1661">
        <v>0</v>
      </c>
      <c r="E5" s="1662">
        <v>60</v>
      </c>
      <c r="F5" s="1658">
        <v>64</v>
      </c>
      <c r="G5" s="1661">
        <v>64</v>
      </c>
      <c r="H5" s="1895">
        <v>64</v>
      </c>
      <c r="I5" s="1663">
        <v>64</v>
      </c>
      <c r="J5" s="1661">
        <v>0</v>
      </c>
      <c r="K5" s="1662">
        <v>64</v>
      </c>
      <c r="L5" s="369"/>
    </row>
    <row r="6" spans="1:12" ht="11.25" customHeight="1" x14ac:dyDescent="0.25">
      <c r="A6" s="254" t="s">
        <v>1401</v>
      </c>
      <c r="B6" s="182">
        <v>4</v>
      </c>
      <c r="C6" s="1661">
        <v>0</v>
      </c>
      <c r="D6" s="1661">
        <v>0</v>
      </c>
      <c r="E6" s="1662">
        <v>0</v>
      </c>
      <c r="F6" s="1658">
        <v>0</v>
      </c>
      <c r="G6" s="1661">
        <v>0</v>
      </c>
      <c r="H6" s="1895">
        <v>0</v>
      </c>
      <c r="I6" s="1663">
        <v>0</v>
      </c>
      <c r="J6" s="1661">
        <f>H6</f>
        <v>0</v>
      </c>
      <c r="K6" s="1662">
        <v>0</v>
      </c>
      <c r="L6" s="369"/>
    </row>
    <row r="7" spans="1:12" ht="11.25" customHeight="1" x14ac:dyDescent="0.25">
      <c r="A7" s="649" t="s">
        <v>1402</v>
      </c>
      <c r="B7" s="182">
        <v>5</v>
      </c>
      <c r="C7" s="1661">
        <v>0</v>
      </c>
      <c r="D7" s="1661">
        <v>0</v>
      </c>
      <c r="E7" s="1662">
        <v>0</v>
      </c>
      <c r="F7" s="1658">
        <v>0</v>
      </c>
      <c r="G7" s="1661">
        <v>0</v>
      </c>
      <c r="H7" s="1895">
        <v>0</v>
      </c>
      <c r="I7" s="1663">
        <v>0</v>
      </c>
      <c r="J7" s="1661">
        <v>0</v>
      </c>
      <c r="K7" s="1662">
        <v>0</v>
      </c>
      <c r="L7" s="369"/>
    </row>
    <row r="8" spans="1:12" ht="11.25" customHeight="1" x14ac:dyDescent="0.25">
      <c r="A8" s="254" t="s">
        <v>1403</v>
      </c>
      <c r="B8" s="182">
        <v>3</v>
      </c>
      <c r="C8" s="1661">
        <v>5</v>
      </c>
      <c r="D8" s="1661">
        <v>0</v>
      </c>
      <c r="E8" s="1662">
        <v>5</v>
      </c>
      <c r="F8" s="1658">
        <v>5</v>
      </c>
      <c r="G8" s="1661">
        <v>0</v>
      </c>
      <c r="H8" s="1895">
        <v>5</v>
      </c>
      <c r="I8" s="1663">
        <v>5</v>
      </c>
      <c r="J8" s="1661">
        <v>0</v>
      </c>
      <c r="K8" s="1662">
        <v>4</v>
      </c>
      <c r="L8" s="369"/>
    </row>
    <row r="9" spans="1:12" ht="11.25" customHeight="1" x14ac:dyDescent="0.25">
      <c r="A9" s="254" t="s">
        <v>559</v>
      </c>
      <c r="B9" s="182">
        <v>7</v>
      </c>
      <c r="C9" s="1661">
        <v>20</v>
      </c>
      <c r="D9" s="1661">
        <v>3</v>
      </c>
      <c r="E9" s="1662">
        <v>17</v>
      </c>
      <c r="F9" s="1658">
        <v>19</v>
      </c>
      <c r="G9" s="1661">
        <v>16</v>
      </c>
      <c r="H9" s="1895">
        <v>2</v>
      </c>
      <c r="I9" s="1663">
        <v>24</v>
      </c>
      <c r="J9" s="1661">
        <v>18</v>
      </c>
      <c r="K9" s="1662">
        <v>2</v>
      </c>
      <c r="L9" s="369"/>
    </row>
    <row r="10" spans="1:12" ht="11.25" customHeight="1" x14ac:dyDescent="0.25">
      <c r="A10" s="254" t="s">
        <v>1404</v>
      </c>
      <c r="B10" s="182"/>
      <c r="C10" s="1170">
        <f>SUM(C11:C19)</f>
        <v>14</v>
      </c>
      <c r="D10" s="1170">
        <f t="shared" ref="D10:K10" si="0">SUM(D11:D19)</f>
        <v>29</v>
      </c>
      <c r="E10" s="1171">
        <f t="shared" si="0"/>
        <v>5</v>
      </c>
      <c r="F10" s="1172">
        <f t="shared" si="0"/>
        <v>330</v>
      </c>
      <c r="G10" s="1170">
        <f t="shared" si="0"/>
        <v>186</v>
      </c>
      <c r="H10" s="1173">
        <f t="shared" si="0"/>
        <v>0</v>
      </c>
      <c r="I10" s="1174">
        <f t="shared" si="0"/>
        <v>210</v>
      </c>
      <c r="J10" s="1170">
        <f t="shared" si="0"/>
        <v>165</v>
      </c>
      <c r="K10" s="1171">
        <f t="shared" si="0"/>
        <v>3</v>
      </c>
      <c r="L10" s="369"/>
    </row>
    <row r="11" spans="1:12" ht="11.25" customHeight="1" x14ac:dyDescent="0.25">
      <c r="A11" s="1466" t="s">
        <v>1811</v>
      </c>
      <c r="B11" s="182"/>
      <c r="C11" s="1661"/>
      <c r="D11" s="1661">
        <v>15</v>
      </c>
      <c r="E11" s="1662">
        <v>5</v>
      </c>
      <c r="F11" s="1658">
        <v>45</v>
      </c>
      <c r="G11" s="1661">
        <v>34</v>
      </c>
      <c r="H11" s="1895"/>
      <c r="I11" s="1663">
        <v>46</v>
      </c>
      <c r="J11" s="1661">
        <v>31</v>
      </c>
      <c r="K11" s="1662">
        <v>3</v>
      </c>
      <c r="L11" s="369"/>
    </row>
    <row r="12" spans="1:12" ht="11.25" customHeight="1" x14ac:dyDescent="0.25">
      <c r="A12" s="1466" t="s">
        <v>1405</v>
      </c>
      <c r="B12" s="182"/>
      <c r="C12" s="1661">
        <v>3</v>
      </c>
      <c r="D12" s="1661">
        <v>3</v>
      </c>
      <c r="E12" s="1662">
        <v>0</v>
      </c>
      <c r="F12" s="1658">
        <v>4</v>
      </c>
      <c r="G12" s="1661">
        <v>4</v>
      </c>
      <c r="H12" s="1895"/>
      <c r="I12" s="1663">
        <v>5</v>
      </c>
      <c r="J12" s="1661">
        <v>1</v>
      </c>
      <c r="K12" s="1662">
        <v>0</v>
      </c>
      <c r="L12" s="369"/>
    </row>
    <row r="13" spans="1:12" ht="11.25" customHeight="1" x14ac:dyDescent="0.25">
      <c r="A13" s="1466" t="s">
        <v>337</v>
      </c>
      <c r="B13" s="182"/>
      <c r="C13" s="1661">
        <v>4</v>
      </c>
      <c r="D13" s="1661">
        <v>4</v>
      </c>
      <c r="E13" s="1662">
        <v>0</v>
      </c>
      <c r="F13" s="1658">
        <v>4</v>
      </c>
      <c r="G13" s="1661">
        <v>4</v>
      </c>
      <c r="H13" s="1895"/>
      <c r="I13" s="1663">
        <v>4</v>
      </c>
      <c r="J13" s="1661">
        <v>3</v>
      </c>
      <c r="K13" s="1662">
        <v>0</v>
      </c>
      <c r="L13" s="369"/>
    </row>
    <row r="14" spans="1:12" ht="11.25" customHeight="1" x14ac:dyDescent="0.25">
      <c r="A14" s="1466" t="s">
        <v>731</v>
      </c>
      <c r="B14" s="182"/>
      <c r="C14" s="1661">
        <v>0</v>
      </c>
      <c r="D14" s="1661">
        <v>0</v>
      </c>
      <c r="E14" s="1662">
        <v>0</v>
      </c>
      <c r="F14" s="1658">
        <v>69</v>
      </c>
      <c r="G14" s="1661">
        <v>46</v>
      </c>
      <c r="H14" s="1895"/>
      <c r="I14" s="1663">
        <v>29</v>
      </c>
      <c r="J14" s="1661">
        <v>29</v>
      </c>
      <c r="K14" s="1662"/>
      <c r="L14" s="369"/>
    </row>
    <row r="15" spans="1:12" ht="11.25" customHeight="1" x14ac:dyDescent="0.25">
      <c r="A15" s="1466" t="s">
        <v>649</v>
      </c>
      <c r="B15" s="182"/>
      <c r="C15" s="1661">
        <v>1</v>
      </c>
      <c r="D15" s="1661">
        <v>1</v>
      </c>
      <c r="E15" s="1662">
        <v>0</v>
      </c>
      <c r="F15" s="1658">
        <v>7</v>
      </c>
      <c r="G15" s="1661">
        <v>6</v>
      </c>
      <c r="H15" s="1895"/>
      <c r="I15" s="1663">
        <v>10</v>
      </c>
      <c r="J15" s="1661">
        <v>8</v>
      </c>
      <c r="K15" s="1662">
        <v>0</v>
      </c>
      <c r="L15" s="369"/>
    </row>
    <row r="16" spans="1:12" ht="11.25" customHeight="1" x14ac:dyDescent="0.25">
      <c r="A16" s="1466" t="s">
        <v>948</v>
      </c>
      <c r="B16" s="182"/>
      <c r="C16" s="1661">
        <v>6</v>
      </c>
      <c r="D16" s="1661">
        <v>6</v>
      </c>
      <c r="E16" s="1662">
        <v>0</v>
      </c>
      <c r="F16" s="1658">
        <v>85</v>
      </c>
      <c r="G16" s="1661">
        <v>57</v>
      </c>
      <c r="H16" s="1895"/>
      <c r="I16" s="1663">
        <v>63</v>
      </c>
      <c r="J16" s="1661">
        <v>48</v>
      </c>
      <c r="K16" s="1662">
        <v>0</v>
      </c>
      <c r="L16" s="369"/>
    </row>
    <row r="17" spans="1:12" ht="11.25" customHeight="1" x14ac:dyDescent="0.25">
      <c r="A17" s="1466" t="s">
        <v>949</v>
      </c>
      <c r="B17" s="182"/>
      <c r="C17" s="1661">
        <v>0</v>
      </c>
      <c r="D17" s="1661">
        <v>0</v>
      </c>
      <c r="E17" s="1662">
        <v>0</v>
      </c>
      <c r="F17" s="1658">
        <v>43</v>
      </c>
      <c r="G17" s="1661">
        <v>26</v>
      </c>
      <c r="H17" s="1895"/>
      <c r="I17" s="1663">
        <v>32</v>
      </c>
      <c r="J17" s="1661">
        <v>24</v>
      </c>
      <c r="K17" s="1662">
        <v>0</v>
      </c>
      <c r="L17" s="369"/>
    </row>
    <row r="18" spans="1:12" ht="11.25" customHeight="1" x14ac:dyDescent="0.25">
      <c r="A18" s="1466" t="s">
        <v>1279</v>
      </c>
      <c r="B18" s="182"/>
      <c r="C18" s="1661">
        <v>0</v>
      </c>
      <c r="D18" s="1661">
        <v>0</v>
      </c>
      <c r="E18" s="1662">
        <v>0</v>
      </c>
      <c r="F18" s="1658">
        <v>73</v>
      </c>
      <c r="G18" s="1661">
        <v>9</v>
      </c>
      <c r="H18" s="1895"/>
      <c r="I18" s="1663">
        <v>2</v>
      </c>
      <c r="J18" s="1661">
        <v>2</v>
      </c>
      <c r="K18" s="1662">
        <v>0</v>
      </c>
      <c r="L18" s="369"/>
    </row>
    <row r="19" spans="1:12" ht="11.25" customHeight="1" x14ac:dyDescent="0.25">
      <c r="A19" s="1466" t="s">
        <v>292</v>
      </c>
      <c r="B19" s="182"/>
      <c r="C19" s="1661">
        <v>0</v>
      </c>
      <c r="D19" s="1661">
        <v>0</v>
      </c>
      <c r="E19" s="1662">
        <v>0</v>
      </c>
      <c r="F19" s="1658">
        <v>0</v>
      </c>
      <c r="G19" s="1661">
        <v>0</v>
      </c>
      <c r="H19" s="1895"/>
      <c r="I19" s="1663">
        <v>19</v>
      </c>
      <c r="J19" s="1661">
        <v>19</v>
      </c>
      <c r="K19" s="1662">
        <v>0</v>
      </c>
      <c r="L19" s="369"/>
    </row>
    <row r="20" spans="1:12" ht="11.25" customHeight="1" x14ac:dyDescent="0.25">
      <c r="A20" s="254" t="s">
        <v>1406</v>
      </c>
      <c r="B20" s="182"/>
      <c r="C20" s="1170">
        <f>SUM(C21:C29)</f>
        <v>0</v>
      </c>
      <c r="D20" s="1170">
        <f t="shared" ref="D20:K20" si="1">SUM(D21:D29)</f>
        <v>0</v>
      </c>
      <c r="E20" s="1171">
        <f t="shared" si="1"/>
        <v>0</v>
      </c>
      <c r="F20" s="1172">
        <f t="shared" si="1"/>
        <v>60</v>
      </c>
      <c r="G20" s="1170">
        <f t="shared" si="1"/>
        <v>60</v>
      </c>
      <c r="H20" s="1173">
        <f t="shared" si="1"/>
        <v>0</v>
      </c>
      <c r="I20" s="1174">
        <f t="shared" si="1"/>
        <v>0</v>
      </c>
      <c r="J20" s="1170">
        <f t="shared" si="1"/>
        <v>0</v>
      </c>
      <c r="K20" s="1171">
        <f t="shared" si="1"/>
        <v>0</v>
      </c>
      <c r="L20" s="369"/>
    </row>
    <row r="21" spans="1:12" ht="11.25" customHeight="1" x14ac:dyDescent="0.25">
      <c r="A21" s="1466" t="s">
        <v>1811</v>
      </c>
      <c r="B21" s="182"/>
      <c r="C21" s="1661">
        <v>0</v>
      </c>
      <c r="D21" s="1661">
        <v>0</v>
      </c>
      <c r="E21" s="1662">
        <v>0</v>
      </c>
      <c r="F21" s="1658">
        <v>0</v>
      </c>
      <c r="G21" s="1661">
        <v>0</v>
      </c>
      <c r="H21" s="1895">
        <v>0</v>
      </c>
      <c r="I21" s="1663"/>
      <c r="J21" s="1661"/>
      <c r="K21" s="1662"/>
      <c r="L21" s="369"/>
    </row>
    <row r="22" spans="1:12" ht="11.25" customHeight="1" x14ac:dyDescent="0.25">
      <c r="A22" s="1466" t="s">
        <v>1405</v>
      </c>
      <c r="B22" s="182"/>
      <c r="C22" s="1661">
        <v>0</v>
      </c>
      <c r="D22" s="1661">
        <v>0</v>
      </c>
      <c r="E22" s="1662">
        <v>0</v>
      </c>
      <c r="F22" s="1658">
        <v>0</v>
      </c>
      <c r="G22" s="1661">
        <v>0</v>
      </c>
      <c r="H22" s="1895">
        <v>0</v>
      </c>
      <c r="I22" s="1663"/>
      <c r="J22" s="1661"/>
      <c r="K22" s="1662"/>
      <c r="L22" s="369"/>
    </row>
    <row r="23" spans="1:12" ht="11.25" customHeight="1" x14ac:dyDescent="0.25">
      <c r="A23" s="1466" t="s">
        <v>337</v>
      </c>
      <c r="B23" s="182"/>
      <c r="C23" s="1661">
        <v>0</v>
      </c>
      <c r="D23" s="1661">
        <v>0</v>
      </c>
      <c r="E23" s="1662">
        <v>0</v>
      </c>
      <c r="F23" s="1658">
        <v>0</v>
      </c>
      <c r="G23" s="1661">
        <v>0</v>
      </c>
      <c r="H23" s="1895">
        <v>0</v>
      </c>
      <c r="I23" s="1663"/>
      <c r="J23" s="1661"/>
      <c r="K23" s="1662"/>
      <c r="L23" s="369"/>
    </row>
    <row r="24" spans="1:12" ht="11.25" customHeight="1" x14ac:dyDescent="0.25">
      <c r="A24" s="1466" t="s">
        <v>731</v>
      </c>
      <c r="B24" s="182"/>
      <c r="C24" s="1661">
        <v>0</v>
      </c>
      <c r="D24" s="1661">
        <v>0</v>
      </c>
      <c r="E24" s="1662">
        <v>0</v>
      </c>
      <c r="F24" s="1658">
        <v>0</v>
      </c>
      <c r="G24" s="1661">
        <v>0</v>
      </c>
      <c r="H24" s="1895">
        <v>0</v>
      </c>
      <c r="I24" s="1663"/>
      <c r="J24" s="1661"/>
      <c r="K24" s="1662"/>
      <c r="L24" s="369"/>
    </row>
    <row r="25" spans="1:12" ht="11.25" customHeight="1" x14ac:dyDescent="0.25">
      <c r="A25" s="1466" t="s">
        <v>649</v>
      </c>
      <c r="B25" s="182"/>
      <c r="C25" s="1661">
        <v>0</v>
      </c>
      <c r="D25" s="1661">
        <v>0</v>
      </c>
      <c r="E25" s="1662">
        <v>0</v>
      </c>
      <c r="F25" s="1658">
        <v>0</v>
      </c>
      <c r="G25" s="1661">
        <v>0</v>
      </c>
      <c r="H25" s="1895">
        <v>0</v>
      </c>
      <c r="I25" s="1663"/>
      <c r="J25" s="1661"/>
      <c r="K25" s="1662"/>
      <c r="L25" s="369"/>
    </row>
    <row r="26" spans="1:12" ht="11.25" customHeight="1" x14ac:dyDescent="0.25">
      <c r="A26" s="1466" t="s">
        <v>948</v>
      </c>
      <c r="B26" s="182"/>
      <c r="C26" s="1661">
        <v>0</v>
      </c>
      <c r="D26" s="1661">
        <v>0</v>
      </c>
      <c r="E26" s="1662">
        <v>0</v>
      </c>
      <c r="F26" s="1658">
        <v>0</v>
      </c>
      <c r="G26" s="1661">
        <v>0</v>
      </c>
      <c r="H26" s="1895">
        <v>0</v>
      </c>
      <c r="I26" s="1663"/>
      <c r="J26" s="1661"/>
      <c r="K26" s="1662"/>
      <c r="L26" s="369"/>
    </row>
    <row r="27" spans="1:12" ht="11.25" customHeight="1" x14ac:dyDescent="0.25">
      <c r="A27" s="1466" t="s">
        <v>949</v>
      </c>
      <c r="B27" s="182"/>
      <c r="C27" s="1661">
        <v>0</v>
      </c>
      <c r="D27" s="1661">
        <v>0</v>
      </c>
      <c r="E27" s="1662">
        <v>0</v>
      </c>
      <c r="F27" s="1658">
        <v>0</v>
      </c>
      <c r="G27" s="1661">
        <v>0</v>
      </c>
      <c r="H27" s="1895">
        <v>0</v>
      </c>
      <c r="I27" s="1663"/>
      <c r="J27" s="1661"/>
      <c r="K27" s="1662"/>
      <c r="L27" s="369"/>
    </row>
    <row r="28" spans="1:12" ht="11.25" customHeight="1" x14ac:dyDescent="0.25">
      <c r="A28" s="1466" t="s">
        <v>1279</v>
      </c>
      <c r="B28" s="182"/>
      <c r="C28" s="1661">
        <v>0</v>
      </c>
      <c r="D28" s="1661">
        <v>0</v>
      </c>
      <c r="E28" s="1662">
        <v>0</v>
      </c>
      <c r="F28" s="1658">
        <v>0</v>
      </c>
      <c r="G28" s="1661">
        <v>0</v>
      </c>
      <c r="H28" s="1895">
        <v>0</v>
      </c>
      <c r="I28" s="1663"/>
      <c r="J28" s="1661"/>
      <c r="K28" s="1662"/>
      <c r="L28" s="369"/>
    </row>
    <row r="29" spans="1:12" ht="11.25" customHeight="1" x14ac:dyDescent="0.25">
      <c r="A29" s="1466" t="s">
        <v>292</v>
      </c>
      <c r="B29" s="182"/>
      <c r="C29" s="1661"/>
      <c r="D29" s="1661"/>
      <c r="E29" s="1662"/>
      <c r="F29" s="1658">
        <v>60</v>
      </c>
      <c r="G29" s="1661">
        <v>60</v>
      </c>
      <c r="H29" s="1895">
        <v>0</v>
      </c>
      <c r="I29" s="1663">
        <v>0</v>
      </c>
      <c r="J29" s="1661">
        <v>0</v>
      </c>
      <c r="K29" s="1662"/>
      <c r="L29" s="369"/>
    </row>
    <row r="30" spans="1:12" ht="11.25" customHeight="1" x14ac:dyDescent="0.25">
      <c r="A30" s="254" t="s">
        <v>1407</v>
      </c>
      <c r="B30" s="182"/>
      <c r="C30" s="1661">
        <v>5</v>
      </c>
      <c r="D30" s="1661">
        <v>5</v>
      </c>
      <c r="E30" s="1662">
        <v>0</v>
      </c>
      <c r="F30" s="1658">
        <v>43</v>
      </c>
      <c r="G30" s="1661">
        <v>41</v>
      </c>
      <c r="H30" s="1895">
        <v>0</v>
      </c>
      <c r="I30" s="1663">
        <v>65</v>
      </c>
      <c r="J30" s="1661">
        <v>65</v>
      </c>
      <c r="K30" s="1662"/>
      <c r="L30" s="369"/>
    </row>
    <row r="31" spans="1:12" ht="11.25" customHeight="1" x14ac:dyDescent="0.25">
      <c r="A31" s="254" t="s">
        <v>1408</v>
      </c>
      <c r="B31" s="182"/>
      <c r="C31" s="1661">
        <v>12</v>
      </c>
      <c r="D31" s="1661">
        <v>12</v>
      </c>
      <c r="E31" s="1662">
        <v>0</v>
      </c>
      <c r="F31" s="1658">
        <v>31</v>
      </c>
      <c r="G31" s="1661">
        <v>31</v>
      </c>
      <c r="H31" s="1895">
        <v>0</v>
      </c>
      <c r="I31" s="1663">
        <v>31</v>
      </c>
      <c r="J31" s="1661">
        <f>G31</f>
        <v>31</v>
      </c>
      <c r="K31" s="1662"/>
      <c r="L31" s="369"/>
    </row>
    <row r="32" spans="1:12" ht="11.25" customHeight="1" x14ac:dyDescent="0.25">
      <c r="A32" s="254" t="s">
        <v>808</v>
      </c>
      <c r="B32" s="182"/>
      <c r="C32" s="1661">
        <v>0</v>
      </c>
      <c r="D32" s="1661">
        <v>0</v>
      </c>
      <c r="E32" s="1662">
        <v>0</v>
      </c>
      <c r="F32" s="1658">
        <v>0</v>
      </c>
      <c r="G32" s="1661">
        <v>0</v>
      </c>
      <c r="H32" s="1895">
        <v>0</v>
      </c>
      <c r="I32" s="1663"/>
      <c r="J32" s="1661">
        <f>G32</f>
        <v>0</v>
      </c>
      <c r="K32" s="1662"/>
      <c r="L32" s="369"/>
    </row>
    <row r="33" spans="1:15" ht="11.25" customHeight="1" x14ac:dyDescent="0.25">
      <c r="A33" s="254" t="s">
        <v>1409</v>
      </c>
      <c r="B33" s="182"/>
      <c r="C33" s="1661">
        <v>0</v>
      </c>
      <c r="D33" s="1661">
        <v>0</v>
      </c>
      <c r="E33" s="1662">
        <v>0</v>
      </c>
      <c r="F33" s="1658">
        <v>0</v>
      </c>
      <c r="G33" s="1661">
        <v>0</v>
      </c>
      <c r="H33" s="1895">
        <v>0</v>
      </c>
      <c r="I33" s="1663">
        <v>14</v>
      </c>
      <c r="J33" s="1661">
        <v>13</v>
      </c>
      <c r="K33" s="1662"/>
      <c r="L33" s="369"/>
    </row>
    <row r="34" spans="1:15" ht="11.25" customHeight="1" x14ac:dyDescent="0.25">
      <c r="A34" s="254" t="s">
        <v>1410</v>
      </c>
      <c r="B34" s="182"/>
      <c r="C34" s="1661">
        <v>25</v>
      </c>
      <c r="D34" s="1661">
        <v>25</v>
      </c>
      <c r="E34" s="1662">
        <v>0</v>
      </c>
      <c r="F34" s="1658">
        <v>32</v>
      </c>
      <c r="G34" s="1661">
        <v>32</v>
      </c>
      <c r="H34" s="1895">
        <v>0</v>
      </c>
      <c r="I34" s="1663">
        <v>61</v>
      </c>
      <c r="J34" s="1661">
        <v>61</v>
      </c>
      <c r="K34" s="1662"/>
      <c r="L34" s="369"/>
    </row>
    <row r="35" spans="1:15" ht="11.25" customHeight="1" x14ac:dyDescent="0.25">
      <c r="A35" s="254" t="s">
        <v>1411</v>
      </c>
      <c r="B35" s="182"/>
      <c r="C35" s="1661">
        <v>130</v>
      </c>
      <c r="D35" s="1661">
        <v>130</v>
      </c>
      <c r="E35" s="1662">
        <v>0</v>
      </c>
      <c r="F35" s="1658">
        <v>0</v>
      </c>
      <c r="G35" s="1661">
        <v>0</v>
      </c>
      <c r="H35" s="1895">
        <v>0</v>
      </c>
      <c r="I35" s="1663">
        <v>53</v>
      </c>
      <c r="J35" s="1661">
        <v>50</v>
      </c>
      <c r="K35" s="1662"/>
      <c r="L35" s="369"/>
    </row>
    <row r="36" spans="1:15" ht="11.25" customHeight="1" x14ac:dyDescent="0.25">
      <c r="A36" s="813" t="s">
        <v>676</v>
      </c>
      <c r="B36" s="182">
        <v>9</v>
      </c>
      <c r="C36" s="854">
        <f>SUM(C5:C9)+SUM(C11:C19)+SUM(C21:C35)</f>
        <v>271</v>
      </c>
      <c r="D36" s="854">
        <f t="shared" ref="D36:K36" si="2">SUM(D5:D9)+SUM(D11:D19)+SUM(D21:D35)</f>
        <v>204</v>
      </c>
      <c r="E36" s="1299">
        <f t="shared" si="2"/>
        <v>87</v>
      </c>
      <c r="F36" s="1300">
        <f t="shared" si="2"/>
        <v>584</v>
      </c>
      <c r="G36" s="854">
        <f t="shared" si="2"/>
        <v>430</v>
      </c>
      <c r="H36" s="855">
        <f>SUM(H5:H9)+SUM(H11:H19)+SUM(H21:H35)</f>
        <v>71</v>
      </c>
      <c r="I36" s="1301">
        <f t="shared" si="2"/>
        <v>527</v>
      </c>
      <c r="J36" s="854">
        <f t="shared" si="2"/>
        <v>403</v>
      </c>
      <c r="K36" s="855">
        <f t="shared" si="2"/>
        <v>73</v>
      </c>
      <c r="L36" s="369"/>
    </row>
    <row r="37" spans="1:15" ht="11.25" customHeight="1" x14ac:dyDescent="0.25">
      <c r="A37" s="966" t="s">
        <v>920</v>
      </c>
      <c r="B37" s="182"/>
      <c r="C37" s="852"/>
      <c r="D37" s="1302"/>
      <c r="E37" s="1303"/>
      <c r="F37" s="1304">
        <f t="shared" ref="F37:K37" si="3">IF(ISERROR((F36/C36)-1),0,((F36/C36)-1))</f>
        <v>1.1549815498154983</v>
      </c>
      <c r="G37" s="1305">
        <f t="shared" si="3"/>
        <v>1.107843137254902</v>
      </c>
      <c r="H37" s="1306">
        <f t="shared" si="3"/>
        <v>-0.18390804597701149</v>
      </c>
      <c r="I37" s="1307">
        <f t="shared" si="3"/>
        <v>-9.7602739726027399E-2</v>
      </c>
      <c r="J37" s="1305">
        <f t="shared" si="3"/>
        <v>-6.2790697674418583E-2</v>
      </c>
      <c r="K37" s="1308">
        <f t="shared" si="3"/>
        <v>2.8169014084507005E-2</v>
      </c>
      <c r="L37" s="369"/>
      <c r="O37" s="369"/>
    </row>
    <row r="38" spans="1:15" ht="3.75" customHeight="1" x14ac:dyDescent="0.25">
      <c r="A38" s="966"/>
      <c r="B38" s="182"/>
      <c r="C38" s="852"/>
      <c r="D38" s="1305"/>
      <c r="E38" s="1308"/>
      <c r="F38" s="1304"/>
      <c r="G38" s="1305"/>
      <c r="H38" s="1306"/>
      <c r="I38" s="1307"/>
      <c r="J38" s="1305"/>
      <c r="K38" s="1308"/>
      <c r="L38" s="369"/>
    </row>
    <row r="39" spans="1:15" ht="11.25" customHeight="1" x14ac:dyDescent="0.25">
      <c r="A39" s="649" t="s">
        <v>1412</v>
      </c>
      <c r="B39" s="182" t="s">
        <v>2264</v>
      </c>
      <c r="C39" s="1943">
        <v>339</v>
      </c>
      <c r="D39" s="1944">
        <v>266</v>
      </c>
      <c r="E39" s="1945">
        <v>73</v>
      </c>
      <c r="F39" s="1946">
        <v>339</v>
      </c>
      <c r="G39" s="1947">
        <v>266</v>
      </c>
      <c r="H39" s="1948">
        <v>73</v>
      </c>
      <c r="I39" s="1949">
        <f>I36-I40-I41</f>
        <v>380</v>
      </c>
      <c r="J39" s="1947">
        <f>J36-J40-J41</f>
        <v>273</v>
      </c>
      <c r="K39" s="1950">
        <f>K36-K40</f>
        <v>70</v>
      </c>
      <c r="L39" s="369"/>
    </row>
    <row r="40" spans="1:15" ht="11.25" customHeight="1" x14ac:dyDescent="0.25">
      <c r="A40" s="250" t="s">
        <v>1413</v>
      </c>
      <c r="B40" s="182" t="s">
        <v>2265</v>
      </c>
      <c r="C40" s="1943">
        <v>29</v>
      </c>
      <c r="D40" s="1944">
        <v>24</v>
      </c>
      <c r="E40" s="1945">
        <v>5</v>
      </c>
      <c r="F40" s="1946">
        <v>29</v>
      </c>
      <c r="G40" s="1947">
        <v>24</v>
      </c>
      <c r="H40" s="1948">
        <v>5</v>
      </c>
      <c r="I40" s="1949">
        <f>I11</f>
        <v>46</v>
      </c>
      <c r="J40" s="1947">
        <f>J11</f>
        <v>31</v>
      </c>
      <c r="K40" s="1950">
        <v>3</v>
      </c>
      <c r="L40" s="369"/>
    </row>
    <row r="41" spans="1:15" ht="11.25" customHeight="1" x14ac:dyDescent="0.25">
      <c r="A41" s="1309" t="s">
        <v>1414</v>
      </c>
      <c r="B41" s="381" t="s">
        <v>2265</v>
      </c>
      <c r="C41" s="1951">
        <v>378</v>
      </c>
      <c r="D41" s="1952">
        <v>68</v>
      </c>
      <c r="E41" s="1953">
        <v>310</v>
      </c>
      <c r="F41" s="1954">
        <v>378</v>
      </c>
      <c r="G41" s="1955">
        <v>68</v>
      </c>
      <c r="H41" s="1956">
        <v>310</v>
      </c>
      <c r="I41" s="1957">
        <f>I12+I30+I31</f>
        <v>101</v>
      </c>
      <c r="J41" s="1955">
        <f>J13+J30+J31</f>
        <v>99</v>
      </c>
      <c r="K41" s="1958">
        <v>0</v>
      </c>
      <c r="L41" s="369"/>
    </row>
    <row r="42" spans="1:15" ht="11.25" customHeight="1" x14ac:dyDescent="0.25">
      <c r="A42" s="652"/>
      <c r="B42" s="236"/>
      <c r="C42" s="309"/>
      <c r="D42" s="309"/>
      <c r="E42" s="309"/>
      <c r="F42" s="309"/>
      <c r="G42" s="309"/>
      <c r="H42" s="309"/>
      <c r="I42" s="309"/>
      <c r="J42" s="309"/>
      <c r="K42" s="309"/>
      <c r="L42" s="369"/>
    </row>
    <row r="43" spans="1:15" ht="11.25" customHeight="1" x14ac:dyDescent="0.25">
      <c r="A43" s="1257" t="str">
        <f>head27a</f>
        <v>References</v>
      </c>
      <c r="B43" s="1033"/>
      <c r="C43" s="1075"/>
      <c r="D43" s="1075"/>
      <c r="E43" s="1075"/>
      <c r="F43" s="1075"/>
      <c r="G43" s="1075"/>
      <c r="H43" s="1075"/>
      <c r="I43" s="1075"/>
      <c r="J43" s="1075"/>
      <c r="K43" s="1075"/>
      <c r="L43" s="369"/>
    </row>
    <row r="44" spans="1:15" ht="11.25" customHeight="1" x14ac:dyDescent="0.25">
      <c r="A44" s="2103" t="s">
        <v>1937</v>
      </c>
      <c r="B44" s="1033"/>
      <c r="C44" s="1075"/>
      <c r="D44" s="1075"/>
      <c r="E44" s="1075"/>
      <c r="F44" s="1075"/>
      <c r="G44" s="1075"/>
      <c r="H44" s="1075"/>
      <c r="I44" s="1075"/>
      <c r="J44" s="1075"/>
      <c r="K44" s="1075"/>
      <c r="L44" s="369"/>
    </row>
    <row r="45" spans="1:15" ht="11.25" customHeight="1" x14ac:dyDescent="0.25">
      <c r="A45" s="1414" t="s">
        <v>1938</v>
      </c>
      <c r="B45" s="1043"/>
      <c r="C45" s="708"/>
      <c r="D45" s="708"/>
      <c r="E45" s="708"/>
      <c r="F45" s="708"/>
      <c r="G45" s="708"/>
      <c r="H45" s="708"/>
      <c r="I45" s="708"/>
      <c r="J45" s="708"/>
      <c r="K45" s="708"/>
    </row>
    <row r="46" spans="1:15" ht="11.25" customHeight="1" x14ac:dyDescent="0.25">
      <c r="A46" s="1414" t="s">
        <v>1939</v>
      </c>
      <c r="B46" s="1043"/>
      <c r="C46" s="708"/>
      <c r="D46" s="708"/>
      <c r="E46" s="708"/>
      <c r="F46" s="708"/>
      <c r="G46" s="708"/>
      <c r="H46" s="708"/>
      <c r="I46" s="708"/>
      <c r="J46" s="708"/>
      <c r="K46" s="708"/>
    </row>
    <row r="47" spans="1:15" ht="11.25" customHeight="1" x14ac:dyDescent="0.25">
      <c r="A47" s="1414" t="s">
        <v>1940</v>
      </c>
      <c r="B47" s="1043"/>
      <c r="C47" s="708"/>
      <c r="D47" s="708"/>
      <c r="E47" s="708"/>
      <c r="F47" s="708"/>
      <c r="G47" s="708"/>
      <c r="H47" s="708"/>
      <c r="I47" s="708"/>
      <c r="J47" s="708"/>
      <c r="K47" s="708"/>
    </row>
    <row r="48" spans="1:15" ht="11.25" customHeight="1" x14ac:dyDescent="0.25">
      <c r="A48" s="1414" t="s">
        <v>1941</v>
      </c>
      <c r="B48" s="1043"/>
      <c r="C48" s="708"/>
      <c r="D48" s="708"/>
      <c r="E48" s="708"/>
      <c r="F48" s="708"/>
      <c r="G48" s="708"/>
      <c r="H48" s="708"/>
      <c r="I48" s="708"/>
      <c r="J48" s="708"/>
      <c r="K48" s="708"/>
    </row>
    <row r="49" spans="1:11" ht="11.25" customHeight="1" x14ac:dyDescent="0.25">
      <c r="A49" s="1414" t="s">
        <v>1942</v>
      </c>
      <c r="B49" s="1043"/>
      <c r="C49" s="708"/>
      <c r="D49" s="708"/>
      <c r="E49" s="708"/>
      <c r="F49" s="708"/>
      <c r="G49" s="708"/>
      <c r="H49" s="708"/>
      <c r="I49" s="708"/>
      <c r="J49" s="708"/>
      <c r="K49" s="708"/>
    </row>
    <row r="50" spans="1:11" ht="11.25" customHeight="1" x14ac:dyDescent="0.25">
      <c r="A50" s="1414" t="s">
        <v>1943</v>
      </c>
      <c r="B50" s="1043"/>
      <c r="C50" s="708"/>
      <c r="D50" s="708"/>
      <c r="E50" s="708"/>
      <c r="F50" s="708"/>
      <c r="G50" s="708"/>
      <c r="H50" s="708"/>
      <c r="I50" s="708"/>
      <c r="J50" s="708"/>
      <c r="K50" s="708"/>
    </row>
    <row r="51" spans="1:11" ht="11.25" customHeight="1" x14ac:dyDescent="0.25">
      <c r="A51" s="1414" t="s">
        <v>1944</v>
      </c>
      <c r="B51" s="1043"/>
      <c r="C51" s="708"/>
      <c r="D51" s="708"/>
      <c r="E51" s="708"/>
      <c r="F51" s="708"/>
      <c r="G51" s="708"/>
      <c r="H51" s="708"/>
      <c r="I51" s="708"/>
      <c r="J51" s="708"/>
      <c r="K51" s="708"/>
    </row>
    <row r="52" spans="1:11" x14ac:dyDescent="0.25">
      <c r="A52" s="1414" t="s">
        <v>2253</v>
      </c>
    </row>
    <row r="53" spans="1:11" x14ac:dyDescent="0.25">
      <c r="A53" s="1414" t="s">
        <v>2263</v>
      </c>
    </row>
  </sheetData>
  <sheetProtection sheet="1" objects="1" scenarios="1"/>
  <customSheetViews>
    <customSheetView guid="{F50C5479-5CC4-4FD7-8319-543D29E829F0}" showGridLines="0" fitToPage="1">
      <pane ySplit="3" topLeftCell="A4" activePane="bottomLeft" state="frozen"/>
      <selection pane="bottomLeft" activeCell="F35" sqref="F35"/>
      <pageMargins left="0.36" right="0.14000000000000001" top="0.78740157480314965" bottom="0.59055118110236227" header="0.51181102362204722" footer="0.39"/>
      <printOptions horizontalCentered="1"/>
      <pageSetup paperSize="9" scale="84" orientation="portrait" r:id="rId1"/>
      <headerFooter alignWithMargins="0"/>
    </customSheetView>
  </customSheetViews>
  <mergeCells count="3">
    <mergeCell ref="F2:H2"/>
    <mergeCell ref="I2:K2"/>
    <mergeCell ref="C2:E2"/>
  </mergeCells>
  <phoneticPr fontId="2" type="noConversion"/>
  <dataValidations count="1">
    <dataValidation type="decimal" allowBlank="1" showInputMessage="1" showErrorMessage="1" sqref="C5:K9 C11:K19 C21:K35 C39:K41">
      <formula1>-99999999999999900000</formula1>
      <formula2>9999999999999990000</formula2>
    </dataValidation>
  </dataValidations>
  <printOptions horizontalCentered="1"/>
  <pageMargins left="0.36" right="0.14000000000000001" top="0.78740157480314965" bottom="0.59055118110236227" header="0.51181102362204722" footer="0.39"/>
  <pageSetup paperSize="9" scale="84" orientation="portrait"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42"/>
    <pageSetUpPr fitToPage="1"/>
  </sheetPr>
  <dimension ref="A1:Q49"/>
  <sheetViews>
    <sheetView showGridLines="0" zoomScaleNormal="100" workbookViewId="0">
      <pane xSplit="2" ySplit="3" topLeftCell="C28" activePane="bottomRight" state="frozen"/>
      <selection activeCell="F35" sqref="F35"/>
      <selection pane="topRight" activeCell="F35" sqref="F35"/>
      <selection pane="bottomLeft" activeCell="F35" sqref="F35"/>
      <selection pane="bottomRight" activeCell="C34" sqref="C34"/>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7" ht="13.5" customHeight="1" x14ac:dyDescent="0.25">
      <c r="A1" s="147" t="str">
        <f>muni&amp;" - "&amp; TableA25</f>
        <v>MP315 Thembisile Hani - Supporting Table SA25 Budgeted monthly revenue and expenditure</v>
      </c>
      <c r="B1" s="147"/>
      <c r="C1" s="147"/>
      <c r="D1" s="147"/>
      <c r="E1" s="147"/>
      <c r="F1" s="147"/>
      <c r="G1" s="147"/>
      <c r="H1" s="147"/>
      <c r="I1" s="147"/>
      <c r="J1" s="147"/>
      <c r="K1" s="147"/>
      <c r="L1" s="147"/>
      <c r="M1" s="147"/>
      <c r="N1" s="147"/>
      <c r="O1" s="147"/>
      <c r="P1" s="147"/>
      <c r="Q1" s="147"/>
    </row>
    <row r="2" spans="1:17" ht="28.5" customHeight="1" x14ac:dyDescent="0.25">
      <c r="A2" s="980" t="str">
        <f>desc</f>
        <v>Description</v>
      </c>
      <c r="B2" s="992" t="str">
        <f>head27</f>
        <v>Ref</v>
      </c>
      <c r="C2" s="2766" t="str">
        <f>Head9</f>
        <v>Budget Year 2015/16</v>
      </c>
      <c r="D2" s="2767"/>
      <c r="E2" s="2767"/>
      <c r="F2" s="2767"/>
      <c r="G2" s="2767"/>
      <c r="H2" s="2767"/>
      <c r="I2" s="2767"/>
      <c r="J2" s="2767"/>
      <c r="K2" s="2767"/>
      <c r="L2" s="2767"/>
      <c r="M2" s="2767"/>
      <c r="N2" s="2767"/>
      <c r="O2" s="2763" t="s">
        <v>1785</v>
      </c>
      <c r="P2" s="2764"/>
      <c r="Q2" s="2765"/>
    </row>
    <row r="3" spans="1:17" ht="25.5" x14ac:dyDescent="0.25">
      <c r="A3" s="987" t="s">
        <v>662</v>
      </c>
      <c r="B3" s="993"/>
      <c r="C3" s="299" t="s">
        <v>720</v>
      </c>
      <c r="D3" s="923" t="s">
        <v>1398</v>
      </c>
      <c r="E3" s="923" t="s">
        <v>1399</v>
      </c>
      <c r="F3" s="923" t="s">
        <v>1400</v>
      </c>
      <c r="G3" s="923" t="s">
        <v>701</v>
      </c>
      <c r="H3" s="923" t="s">
        <v>702</v>
      </c>
      <c r="I3" s="923" t="s">
        <v>703</v>
      </c>
      <c r="J3" s="923" t="s">
        <v>704</v>
      </c>
      <c r="K3" s="923" t="s">
        <v>705</v>
      </c>
      <c r="L3" s="923" t="s">
        <v>706</v>
      </c>
      <c r="M3" s="923" t="s">
        <v>707</v>
      </c>
      <c r="N3" s="390" t="s">
        <v>708</v>
      </c>
      <c r="O3" s="299" t="str">
        <f>Head9</f>
        <v>Budget Year 2015/16</v>
      </c>
      <c r="P3" s="389" t="str">
        <f>Head10</f>
        <v>Budget Year +1 2016/17</v>
      </c>
      <c r="Q3" s="390" t="str">
        <f>Head11</f>
        <v>Budget Year +2 2017/18</v>
      </c>
    </row>
    <row r="4" spans="1:17" x14ac:dyDescent="0.25">
      <c r="A4" s="856" t="str">
        <f>'A4-FinPerf RE'!A4</f>
        <v>Revenue By Source</v>
      </c>
      <c r="B4" s="857"/>
      <c r="C4" s="313"/>
      <c r="D4" s="311"/>
      <c r="E4" s="311"/>
      <c r="F4" s="311"/>
      <c r="G4" s="311"/>
      <c r="H4" s="311"/>
      <c r="I4" s="311"/>
      <c r="J4" s="311"/>
      <c r="K4" s="311"/>
      <c r="L4" s="311"/>
      <c r="M4" s="311"/>
      <c r="N4" s="858"/>
      <c r="O4" s="313"/>
      <c r="P4" s="311"/>
      <c r="Q4" s="314"/>
    </row>
    <row r="5" spans="1:17" ht="11.25" customHeight="1" x14ac:dyDescent="0.25">
      <c r="A5" s="250" t="str">
        <f>'A4-FinPerf RE'!A5</f>
        <v>Property rates</v>
      </c>
      <c r="B5" s="859"/>
      <c r="C5" s="1606">
        <v>4784266.6341666663</v>
      </c>
      <c r="D5" s="1606">
        <v>4784266.6341666663</v>
      </c>
      <c r="E5" s="1606">
        <v>4784266.6341666663</v>
      </c>
      <c r="F5" s="1606">
        <v>4784266.6341666663</v>
      </c>
      <c r="G5" s="1606">
        <v>4784266.6341666663</v>
      </c>
      <c r="H5" s="1606">
        <v>4784266.6341666663</v>
      </c>
      <c r="I5" s="1606">
        <v>4784266.6341666663</v>
      </c>
      <c r="J5" s="1606">
        <v>4784266.6341666663</v>
      </c>
      <c r="K5" s="1606">
        <v>4784266.6341666663</v>
      </c>
      <c r="L5" s="1606">
        <v>4784266.6341666663</v>
      </c>
      <c r="M5" s="1606">
        <v>4784266.6341666663</v>
      </c>
      <c r="N5" s="803">
        <f t="shared" ref="N5:N21" si="0">O5-SUM(C5:M5)</f>
        <v>4784266.6341666728</v>
      </c>
      <c r="O5" s="205">
        <f>'A4-FinPerf RE'!J5</f>
        <v>57411199.609999999</v>
      </c>
      <c r="P5" s="203">
        <f>'A4-FinPerf RE'!K5</f>
        <v>60798460.386989996</v>
      </c>
      <c r="Q5" s="204">
        <f>'A4-FinPerf RE'!L5</f>
        <v>64203174.168661438</v>
      </c>
    </row>
    <row r="6" spans="1:17" ht="11.25" customHeight="1" x14ac:dyDescent="0.25">
      <c r="A6" s="250" t="str">
        <f>'A4-FinPerf RE'!A6</f>
        <v>Property rates - penalties &amp; collection charges</v>
      </c>
      <c r="B6" s="859"/>
      <c r="C6" s="1629">
        <v>0</v>
      </c>
      <c r="D6" s="1606">
        <v>0</v>
      </c>
      <c r="E6" s="1606">
        <v>0</v>
      </c>
      <c r="F6" s="1606">
        <v>0</v>
      </c>
      <c r="G6" s="1606">
        <v>0</v>
      </c>
      <c r="H6" s="1606">
        <v>0</v>
      </c>
      <c r="I6" s="1606">
        <v>0</v>
      </c>
      <c r="J6" s="1606">
        <v>0</v>
      </c>
      <c r="K6" s="1606">
        <v>0</v>
      </c>
      <c r="L6" s="1606">
        <v>0</v>
      </c>
      <c r="M6" s="1606">
        <v>0</v>
      </c>
      <c r="N6" s="803">
        <f t="shared" si="0"/>
        <v>0</v>
      </c>
      <c r="O6" s="205">
        <f>'A4-FinPerf RE'!J6</f>
        <v>0</v>
      </c>
      <c r="P6" s="207">
        <f>'A4-FinPerf RE'!K6</f>
        <v>0</v>
      </c>
      <c r="Q6" s="264">
        <f>'A4-FinPerf RE'!L6</f>
        <v>0</v>
      </c>
    </row>
    <row r="7" spans="1:17" ht="11.25" customHeight="1" x14ac:dyDescent="0.25">
      <c r="A7" s="250" t="str">
        <f>'A4-FinPerf RE'!A7</f>
        <v>Service charges - electricity revenue</v>
      </c>
      <c r="B7" s="859"/>
      <c r="C7" s="1629">
        <v>0</v>
      </c>
      <c r="D7" s="1606">
        <v>0</v>
      </c>
      <c r="E7" s="1606">
        <v>0</v>
      </c>
      <c r="F7" s="1606">
        <v>0</v>
      </c>
      <c r="G7" s="1606">
        <v>0</v>
      </c>
      <c r="H7" s="1606">
        <v>0</v>
      </c>
      <c r="I7" s="1606">
        <v>0</v>
      </c>
      <c r="J7" s="1606">
        <v>0</v>
      </c>
      <c r="K7" s="1606">
        <v>0</v>
      </c>
      <c r="L7" s="1606">
        <v>0</v>
      </c>
      <c r="M7" s="1606">
        <v>0</v>
      </c>
      <c r="N7" s="803">
        <f t="shared" si="0"/>
        <v>0</v>
      </c>
      <c r="O7" s="205">
        <f>'A4-FinPerf RE'!J7</f>
        <v>0</v>
      </c>
      <c r="P7" s="207">
        <f>'A4-FinPerf RE'!K7</f>
        <v>0</v>
      </c>
      <c r="Q7" s="264">
        <f>'A4-FinPerf RE'!L7</f>
        <v>0</v>
      </c>
    </row>
    <row r="8" spans="1:17" ht="11.25" customHeight="1" x14ac:dyDescent="0.25">
      <c r="A8" s="250" t="str">
        <f>'A4-FinPerf RE'!A8</f>
        <v>Service charges - water revenue</v>
      </c>
      <c r="B8" s="859"/>
      <c r="C8" s="1629">
        <v>3479307.3333333335</v>
      </c>
      <c r="D8" s="1629">
        <v>3479307.3333333335</v>
      </c>
      <c r="E8" s="1629">
        <v>3479307.3333333335</v>
      </c>
      <c r="F8" s="1629">
        <v>3479307.3333333335</v>
      </c>
      <c r="G8" s="1629">
        <v>3479307.3333333335</v>
      </c>
      <c r="H8" s="1629">
        <v>3479307.3333333335</v>
      </c>
      <c r="I8" s="1629">
        <v>3479307.3333333335</v>
      </c>
      <c r="J8" s="1629">
        <v>3479307.3333333335</v>
      </c>
      <c r="K8" s="1629">
        <v>3479307.3333333335</v>
      </c>
      <c r="L8" s="1629">
        <v>3479307.3333333335</v>
      </c>
      <c r="M8" s="1629">
        <v>3479307.3333333335</v>
      </c>
      <c r="N8" s="803">
        <f t="shared" si="0"/>
        <v>3479307.613333337</v>
      </c>
      <c r="O8" s="205">
        <f>'A4-FinPerf RE'!J8</f>
        <v>41751688.280000001</v>
      </c>
      <c r="P8" s="207">
        <f>'A4-FinPerf RE'!K8</f>
        <v>44215037.888520002</v>
      </c>
      <c r="Q8" s="264">
        <f>'A4-FinPerf RE'!L8</f>
        <v>46691080.010277122</v>
      </c>
    </row>
    <row r="9" spans="1:17" ht="11.25" customHeight="1" x14ac:dyDescent="0.25">
      <c r="A9" s="250" t="str">
        <f>'A4-FinPerf RE'!A9</f>
        <v>Service charges - sanitation revenue</v>
      </c>
      <c r="B9" s="859"/>
      <c r="C9" s="1629">
        <v>149215.76999999999</v>
      </c>
      <c r="D9" s="1606">
        <v>149215.76999999999</v>
      </c>
      <c r="E9" s="1606">
        <v>149215.76999999999</v>
      </c>
      <c r="F9" s="1606">
        <v>149215.76999999999</v>
      </c>
      <c r="G9" s="1606">
        <v>149215.76999999999</v>
      </c>
      <c r="H9" s="1606">
        <v>149215.76999999999</v>
      </c>
      <c r="I9" s="1606">
        <v>149215.76999999999</v>
      </c>
      <c r="J9" s="1606">
        <v>149215.76999999999</v>
      </c>
      <c r="K9" s="1606">
        <v>149215.76999999999</v>
      </c>
      <c r="L9" s="1606">
        <v>149215.76999999999</v>
      </c>
      <c r="M9" s="1606">
        <v>149215.76999999999</v>
      </c>
      <c r="N9" s="803">
        <f t="shared" si="0"/>
        <v>149215.77000000025</v>
      </c>
      <c r="O9" s="205">
        <f>'A4-FinPerf RE'!J9</f>
        <v>1790589.2400000002</v>
      </c>
      <c r="P9" s="207">
        <f>'A4-FinPerf RE'!K9</f>
        <v>1896234.0051600002</v>
      </c>
      <c r="Q9" s="264">
        <f>'A4-FinPerf RE'!L9</f>
        <v>2002423.1094489603</v>
      </c>
    </row>
    <row r="10" spans="1:17" ht="11.25" customHeight="1" x14ac:dyDescent="0.25">
      <c r="A10" s="250" t="str">
        <f>'A4-FinPerf RE'!A10</f>
        <v>Service charges - refuse revenue</v>
      </c>
      <c r="B10" s="859"/>
      <c r="C10" s="1629">
        <v>1310263.5808333333</v>
      </c>
      <c r="D10" s="1606">
        <v>1310263.5808333333</v>
      </c>
      <c r="E10" s="1606">
        <v>1310263.5808333333</v>
      </c>
      <c r="F10" s="1606">
        <v>1310263.5808333333</v>
      </c>
      <c r="G10" s="1606">
        <v>1310263.5808333333</v>
      </c>
      <c r="H10" s="1606">
        <v>1310263.5808333333</v>
      </c>
      <c r="I10" s="1606">
        <v>1310263.5808333333</v>
      </c>
      <c r="J10" s="1606">
        <v>1310263.5808333333</v>
      </c>
      <c r="K10" s="1606">
        <v>1310263.5808333333</v>
      </c>
      <c r="L10" s="1606">
        <v>1310263.5808333333</v>
      </c>
      <c r="M10" s="1606">
        <v>1310263.5808333333</v>
      </c>
      <c r="N10" s="803">
        <f t="shared" si="0"/>
        <v>1310263.5808333363</v>
      </c>
      <c r="O10" s="205">
        <f>'A4-FinPerf RE'!J10</f>
        <v>15723162.970000001</v>
      </c>
      <c r="P10" s="207">
        <f>'A4-FinPerf RE'!K10</f>
        <v>16650829.58523</v>
      </c>
      <c r="Q10" s="264">
        <f>'A4-FinPerf RE'!L10</f>
        <v>17583276.042002883</v>
      </c>
    </row>
    <row r="11" spans="1:17" ht="11.25" customHeight="1" x14ac:dyDescent="0.25">
      <c r="A11" s="250" t="str">
        <f>'A4-FinPerf RE'!A11</f>
        <v>Service charges - other</v>
      </c>
      <c r="B11" s="859"/>
      <c r="C11" s="1629">
        <v>0</v>
      </c>
      <c r="D11" s="1606">
        <v>0</v>
      </c>
      <c r="E11" s="1606">
        <v>0</v>
      </c>
      <c r="F11" s="1606">
        <v>0</v>
      </c>
      <c r="G11" s="1606">
        <v>0</v>
      </c>
      <c r="H11" s="1606">
        <v>0</v>
      </c>
      <c r="I11" s="1606">
        <v>0</v>
      </c>
      <c r="J11" s="1606">
        <v>0</v>
      </c>
      <c r="K11" s="1606">
        <v>0</v>
      </c>
      <c r="L11" s="1606">
        <v>0</v>
      </c>
      <c r="M11" s="1606">
        <v>0</v>
      </c>
      <c r="N11" s="803">
        <f t="shared" si="0"/>
        <v>0</v>
      </c>
      <c r="O11" s="205">
        <f>'A4-FinPerf RE'!J11</f>
        <v>0</v>
      </c>
      <c r="P11" s="203">
        <f>'A4-FinPerf RE'!K11</f>
        <v>0</v>
      </c>
      <c r="Q11" s="204">
        <f>'A4-FinPerf RE'!L11</f>
        <v>0</v>
      </c>
    </row>
    <row r="12" spans="1:17" ht="11.25" customHeight="1" x14ac:dyDescent="0.25">
      <c r="A12" s="250" t="str">
        <f>'A4-FinPerf RE'!A12</f>
        <v>Rental of facilities and equipment</v>
      </c>
      <c r="B12" s="859"/>
      <c r="C12" s="1629">
        <v>47116.708333333336</v>
      </c>
      <c r="D12" s="1606">
        <v>47116.708333333336</v>
      </c>
      <c r="E12" s="1606">
        <v>47116.708333333336</v>
      </c>
      <c r="F12" s="1606">
        <v>47116.708333333336</v>
      </c>
      <c r="G12" s="1606">
        <v>47116.708333333336</v>
      </c>
      <c r="H12" s="1606">
        <v>47116.708333333336</v>
      </c>
      <c r="I12" s="1606">
        <v>47116.708333333336</v>
      </c>
      <c r="J12" s="1606">
        <v>47116.708333333336</v>
      </c>
      <c r="K12" s="1606">
        <v>47116.708333333336</v>
      </c>
      <c r="L12" s="1606">
        <v>47116.708333333336</v>
      </c>
      <c r="M12" s="1606">
        <v>47116.708333333336</v>
      </c>
      <c r="N12" s="803">
        <f t="shared" si="0"/>
        <v>47116.70833333343</v>
      </c>
      <c r="O12" s="205">
        <f>'A4-FinPerf RE'!J12</f>
        <v>565400.5</v>
      </c>
      <c r="P12" s="203">
        <f>'A4-FinPerf RE'!K12</f>
        <v>598759.12949999992</v>
      </c>
      <c r="Q12" s="204">
        <f>'A4-FinPerf RE'!L12</f>
        <v>632289.64075199992</v>
      </c>
    </row>
    <row r="13" spans="1:17" ht="11.25" customHeight="1" x14ac:dyDescent="0.25">
      <c r="A13" s="250" t="str">
        <f>'A4-FinPerf RE'!A13</f>
        <v>Interest earned - external investments</v>
      </c>
      <c r="B13" s="859"/>
      <c r="C13" s="1629">
        <v>205748.88749999998</v>
      </c>
      <c r="D13" s="1606">
        <v>205748.88749999998</v>
      </c>
      <c r="E13" s="1606">
        <v>205748.88749999998</v>
      </c>
      <c r="F13" s="1606">
        <v>205748.88749999998</v>
      </c>
      <c r="G13" s="1606">
        <v>205748.88749999998</v>
      </c>
      <c r="H13" s="1606">
        <v>205748.88749999998</v>
      </c>
      <c r="I13" s="1606">
        <v>205748.88749999998</v>
      </c>
      <c r="J13" s="1606">
        <v>205748.88749999998</v>
      </c>
      <c r="K13" s="1606">
        <v>205748.88749999998</v>
      </c>
      <c r="L13" s="1606">
        <v>205748.88749999998</v>
      </c>
      <c r="M13" s="1606">
        <v>205748.88749999998</v>
      </c>
      <c r="N13" s="803">
        <f t="shared" si="0"/>
        <v>205748.88750000019</v>
      </c>
      <c r="O13" s="205">
        <f>'A4-FinPerf RE'!J13</f>
        <v>2468986.65</v>
      </c>
      <c r="P13" s="203">
        <f>'A4-FinPerf RE'!K13</f>
        <v>2614656.8623499996</v>
      </c>
      <c r="Q13" s="204">
        <f>'A4-FinPerf RE'!L13</f>
        <v>2761077.6466415995</v>
      </c>
    </row>
    <row r="14" spans="1:17" ht="11.25" customHeight="1" x14ac:dyDescent="0.25">
      <c r="A14" s="250" t="str">
        <f>'A4-FinPerf RE'!A14</f>
        <v>Interest earned - outstanding debtors</v>
      </c>
      <c r="B14" s="859"/>
      <c r="C14" s="1629">
        <v>2039712.9166666667</v>
      </c>
      <c r="D14" s="1606">
        <v>2039712.9166666667</v>
      </c>
      <c r="E14" s="1606">
        <v>2039712.9166666667</v>
      </c>
      <c r="F14" s="1606">
        <v>2039712.9166666667</v>
      </c>
      <c r="G14" s="1606">
        <v>2039712.9166666667</v>
      </c>
      <c r="H14" s="1606">
        <v>2039712.9166666667</v>
      </c>
      <c r="I14" s="1606">
        <v>2039712.9166666667</v>
      </c>
      <c r="J14" s="1606">
        <v>2039712.9166666667</v>
      </c>
      <c r="K14" s="1606">
        <v>2039712.9166666667</v>
      </c>
      <c r="L14" s="1606">
        <v>2039712.9166666667</v>
      </c>
      <c r="M14" s="1606">
        <v>2039712.9166666667</v>
      </c>
      <c r="N14" s="803">
        <f t="shared" si="0"/>
        <v>2039712.9166666642</v>
      </c>
      <c r="O14" s="205">
        <f>'A4-FinPerf RE'!J14</f>
        <v>24476555</v>
      </c>
      <c r="P14" s="203">
        <f>'A4-FinPerf RE'!K14</f>
        <v>25920671.744999997</v>
      </c>
      <c r="Q14" s="204">
        <f>'A4-FinPerf RE'!L14</f>
        <v>27372229.362719998</v>
      </c>
    </row>
    <row r="15" spans="1:17" ht="11.25" customHeight="1" x14ac:dyDescent="0.25">
      <c r="A15" s="250" t="str">
        <f>'A4-FinPerf RE'!A15</f>
        <v>Dividends received</v>
      </c>
      <c r="B15" s="859"/>
      <c r="C15" s="1629">
        <v>0</v>
      </c>
      <c r="D15" s="1606">
        <v>0</v>
      </c>
      <c r="E15" s="1606">
        <v>0</v>
      </c>
      <c r="F15" s="1606">
        <v>0</v>
      </c>
      <c r="G15" s="1606">
        <v>0</v>
      </c>
      <c r="H15" s="1606">
        <v>0</v>
      </c>
      <c r="I15" s="1606">
        <v>0</v>
      </c>
      <c r="J15" s="1606">
        <v>0</v>
      </c>
      <c r="K15" s="1606">
        <v>0</v>
      </c>
      <c r="L15" s="1606">
        <v>0</v>
      </c>
      <c r="M15" s="1606">
        <v>0</v>
      </c>
      <c r="N15" s="803">
        <f t="shared" si="0"/>
        <v>0</v>
      </c>
      <c r="O15" s="205">
        <f>'A4-FinPerf RE'!J15</f>
        <v>0</v>
      </c>
      <c r="P15" s="203">
        <f>'A4-FinPerf RE'!K15</f>
        <v>0</v>
      </c>
      <c r="Q15" s="204">
        <f>'A4-FinPerf RE'!L15</f>
        <v>0</v>
      </c>
    </row>
    <row r="16" spans="1:17" ht="11.25" customHeight="1" x14ac:dyDescent="0.25">
      <c r="A16" s="250" t="str">
        <f>'A4-FinPerf RE'!A16</f>
        <v>Fines</v>
      </c>
      <c r="B16" s="859"/>
      <c r="C16" s="1629">
        <v>125000</v>
      </c>
      <c r="D16" s="1606">
        <v>125000</v>
      </c>
      <c r="E16" s="1606">
        <v>125000</v>
      </c>
      <c r="F16" s="1606">
        <v>125000</v>
      </c>
      <c r="G16" s="1606">
        <v>125000</v>
      </c>
      <c r="H16" s="1606">
        <v>125000</v>
      </c>
      <c r="I16" s="1606">
        <v>125000</v>
      </c>
      <c r="J16" s="1606">
        <v>125000</v>
      </c>
      <c r="K16" s="1606">
        <v>125000</v>
      </c>
      <c r="L16" s="1606">
        <v>125000</v>
      </c>
      <c r="M16" s="1606">
        <v>125000</v>
      </c>
      <c r="N16" s="803">
        <f t="shared" si="0"/>
        <v>125000</v>
      </c>
      <c r="O16" s="205">
        <f>'A4-FinPerf RE'!J16</f>
        <v>1500000</v>
      </c>
      <c r="P16" s="203">
        <f>'A4-FinPerf RE'!K16</f>
        <v>1588500</v>
      </c>
      <c r="Q16" s="204">
        <f>'A4-FinPerf RE'!L16</f>
        <v>1677456</v>
      </c>
    </row>
    <row r="17" spans="1:17" ht="11.25" customHeight="1" x14ac:dyDescent="0.25">
      <c r="A17" s="250" t="str">
        <f>'A4-FinPerf RE'!A17</f>
        <v>Licences and permits</v>
      </c>
      <c r="B17" s="859"/>
      <c r="C17" s="1629">
        <v>26011.459166666667</v>
      </c>
      <c r="D17" s="1606">
        <v>26011.459166666667</v>
      </c>
      <c r="E17" s="1606">
        <v>26011.459166666667</v>
      </c>
      <c r="F17" s="1606">
        <v>26011.459166666667</v>
      </c>
      <c r="G17" s="1606">
        <v>26011.459166666667</v>
      </c>
      <c r="H17" s="1606">
        <v>26011.459166666667</v>
      </c>
      <c r="I17" s="1606">
        <v>26011.459166666667</v>
      </c>
      <c r="J17" s="1606">
        <v>26011.459166666667</v>
      </c>
      <c r="K17" s="1606">
        <v>26011.459166666667</v>
      </c>
      <c r="L17" s="1606">
        <v>26011.459166666667</v>
      </c>
      <c r="M17" s="1606">
        <v>26011.459166666667</v>
      </c>
      <c r="N17" s="803">
        <f t="shared" si="0"/>
        <v>26011.459166666667</v>
      </c>
      <c r="O17" s="205">
        <f>'A4-FinPerf RE'!J17</f>
        <v>312137.51</v>
      </c>
      <c r="P17" s="203">
        <f>'A4-FinPerf RE'!K17</f>
        <v>330553.62309000001</v>
      </c>
      <c r="Q17" s="204">
        <f>'A4-FinPerf RE'!L17</f>
        <v>349064.62598304002</v>
      </c>
    </row>
    <row r="18" spans="1:17" ht="11.25" customHeight="1" x14ac:dyDescent="0.25">
      <c r="A18" s="250" t="str">
        <f>'A4-FinPerf RE'!A18</f>
        <v>Agency services</v>
      </c>
      <c r="B18" s="859"/>
      <c r="C18" s="1629">
        <v>511366.66666666669</v>
      </c>
      <c r="D18" s="1606">
        <v>511366.66666666669</v>
      </c>
      <c r="E18" s="1606">
        <v>511366.66666666669</v>
      </c>
      <c r="F18" s="1606">
        <v>511366.66666666669</v>
      </c>
      <c r="G18" s="1606">
        <v>511366.66666666669</v>
      </c>
      <c r="H18" s="1606">
        <v>511366.66666666669</v>
      </c>
      <c r="I18" s="1606">
        <v>511366.66666666669</v>
      </c>
      <c r="J18" s="1606">
        <v>511366.66666666669</v>
      </c>
      <c r="K18" s="1606">
        <v>511366.66666666669</v>
      </c>
      <c r="L18" s="1606">
        <v>511366.66666666669</v>
      </c>
      <c r="M18" s="1606">
        <v>511366.66666666669</v>
      </c>
      <c r="N18" s="803">
        <f t="shared" si="0"/>
        <v>511366.66666666605</v>
      </c>
      <c r="O18" s="205">
        <f>'A4-FinPerf RE'!J18</f>
        <v>6136400</v>
      </c>
      <c r="P18" s="203">
        <f>'A4-FinPerf RE'!K18</f>
        <v>6498447.5999999996</v>
      </c>
      <c r="Q18" s="204">
        <f>'A4-FinPerf RE'!L18</f>
        <v>6862360.6655999999</v>
      </c>
    </row>
    <row r="19" spans="1:17" ht="11.25" customHeight="1" x14ac:dyDescent="0.25">
      <c r="A19" s="250" t="str">
        <f>'A4-FinPerf RE'!A19</f>
        <v>Transfers recognised - operational</v>
      </c>
      <c r="B19" s="859"/>
      <c r="C19" s="1629">
        <v>25774250</v>
      </c>
      <c r="D19" s="1606">
        <v>25774250</v>
      </c>
      <c r="E19" s="1606">
        <v>25774250</v>
      </c>
      <c r="F19" s="1606">
        <v>25774250</v>
      </c>
      <c r="G19" s="1606">
        <v>25774250</v>
      </c>
      <c r="H19" s="1606">
        <v>25774250</v>
      </c>
      <c r="I19" s="1606">
        <v>25774250</v>
      </c>
      <c r="J19" s="1606">
        <v>25774250</v>
      </c>
      <c r="K19" s="1606">
        <v>25774250</v>
      </c>
      <c r="L19" s="1606">
        <v>25774250</v>
      </c>
      <c r="M19" s="1606">
        <v>25774250</v>
      </c>
      <c r="N19" s="803">
        <f t="shared" si="0"/>
        <v>25774250</v>
      </c>
      <c r="O19" s="205">
        <f>'A4-FinPerf RE'!J19</f>
        <v>309291000</v>
      </c>
      <c r="P19" s="203">
        <f>'A4-FinPerf RE'!K19</f>
        <v>327539169</v>
      </c>
      <c r="Q19" s="204">
        <f>'A4-FinPerf RE'!L19</f>
        <v>345881362.46399999</v>
      </c>
    </row>
    <row r="20" spans="1:17" ht="11.25" customHeight="1" x14ac:dyDescent="0.25">
      <c r="A20" s="250" t="str">
        <f>'A4-FinPerf RE'!A20</f>
        <v>Other revenue</v>
      </c>
      <c r="B20" s="859"/>
      <c r="C20" s="1629">
        <v>2284163.0858333334</v>
      </c>
      <c r="D20" s="1606">
        <v>2284163.0858333334</v>
      </c>
      <c r="E20" s="1606">
        <v>2284163.0858333334</v>
      </c>
      <c r="F20" s="1606">
        <v>2284163.0858333334</v>
      </c>
      <c r="G20" s="1606">
        <v>2284163.0858333334</v>
      </c>
      <c r="H20" s="1606">
        <v>2284163.0858333334</v>
      </c>
      <c r="I20" s="1606">
        <v>2284163.0858333334</v>
      </c>
      <c r="J20" s="1606">
        <v>2284163.0858333334</v>
      </c>
      <c r="K20" s="1606">
        <v>2284163.0858333334</v>
      </c>
      <c r="L20" s="1606">
        <v>2284163.0858333334</v>
      </c>
      <c r="M20" s="1606">
        <v>2284163.0858333334</v>
      </c>
      <c r="N20" s="803">
        <f t="shared" si="0"/>
        <v>2284163.0858333334</v>
      </c>
      <c r="O20" s="205">
        <f>'A4-FinPerf RE'!J20</f>
        <v>27409957.030000001</v>
      </c>
      <c r="P20" s="203">
        <f>'A4-FinPerf RE'!K20</f>
        <v>29027144.494769998</v>
      </c>
      <c r="Q20" s="204">
        <f>'A4-FinPerf RE'!L20</f>
        <v>30652664.586477119</v>
      </c>
    </row>
    <row r="21" spans="1:17" ht="11.25" customHeight="1" x14ac:dyDescent="0.25">
      <c r="A21" s="250" t="str">
        <f>'A4-FinPerf RE'!A21</f>
        <v>Gains on disposal of PPE</v>
      </c>
      <c r="B21" s="859"/>
      <c r="C21" s="1629"/>
      <c r="D21" s="1606"/>
      <c r="E21" s="1606"/>
      <c r="F21" s="1606"/>
      <c r="G21" s="1606"/>
      <c r="H21" s="1606"/>
      <c r="I21" s="1606"/>
      <c r="J21" s="1606"/>
      <c r="K21" s="1606"/>
      <c r="L21" s="1606"/>
      <c r="M21" s="1606"/>
      <c r="N21" s="803">
        <f t="shared" si="0"/>
        <v>0</v>
      </c>
      <c r="O21" s="205">
        <f>'A4-FinPerf RE'!J21</f>
        <v>0</v>
      </c>
      <c r="P21" s="203">
        <f>'A4-FinPerf RE'!K21</f>
        <v>0</v>
      </c>
      <c r="Q21" s="204">
        <f>'A4-FinPerf RE'!L21</f>
        <v>0</v>
      </c>
    </row>
    <row r="22" spans="1:17" x14ac:dyDescent="0.25">
      <c r="A22" s="265" t="str">
        <f>'A4-FinPerf RE'!A22</f>
        <v>Total Revenue (excluding capital transfers and contributions)</v>
      </c>
      <c r="B22" s="860"/>
      <c r="C22" s="215">
        <f t="shared" ref="C22:Q22" si="1">SUM(C5:C21)</f>
        <v>40736423.042499997</v>
      </c>
      <c r="D22" s="213">
        <f t="shared" si="1"/>
        <v>40736423.042499997</v>
      </c>
      <c r="E22" s="213">
        <f t="shared" si="1"/>
        <v>40736423.042499997</v>
      </c>
      <c r="F22" s="213">
        <f t="shared" si="1"/>
        <v>40736423.042499997</v>
      </c>
      <c r="G22" s="213">
        <f t="shared" si="1"/>
        <v>40736423.042499997</v>
      </c>
      <c r="H22" s="213">
        <f t="shared" si="1"/>
        <v>40736423.042499997</v>
      </c>
      <c r="I22" s="213">
        <f t="shared" si="1"/>
        <v>40736423.042499997</v>
      </c>
      <c r="J22" s="213">
        <f t="shared" si="1"/>
        <v>40736423.042499997</v>
      </c>
      <c r="K22" s="213">
        <f t="shared" si="1"/>
        <v>40736423.042499997</v>
      </c>
      <c r="L22" s="213">
        <f t="shared" si="1"/>
        <v>40736423.042499997</v>
      </c>
      <c r="M22" s="213">
        <f t="shared" si="1"/>
        <v>40736423.042499997</v>
      </c>
      <c r="N22" s="861">
        <f t="shared" si="1"/>
        <v>40736423.322500013</v>
      </c>
      <c r="O22" s="215">
        <f t="shared" si="1"/>
        <v>488837076.78999996</v>
      </c>
      <c r="P22" s="213">
        <f t="shared" si="1"/>
        <v>517678464.32060999</v>
      </c>
      <c r="Q22" s="214">
        <f t="shared" si="1"/>
        <v>546668458.32256413</v>
      </c>
    </row>
    <row r="23" spans="1:17" ht="5.0999999999999996" customHeight="1" x14ac:dyDescent="0.25">
      <c r="A23" s="273"/>
      <c r="B23" s="859"/>
      <c r="C23" s="205"/>
      <c r="D23" s="203"/>
      <c r="E23" s="203"/>
      <c r="F23" s="203"/>
      <c r="G23" s="203"/>
      <c r="H23" s="203"/>
      <c r="I23" s="203"/>
      <c r="J23" s="203"/>
      <c r="K23" s="203"/>
      <c r="L23" s="203"/>
      <c r="M23" s="203"/>
      <c r="N23" s="803"/>
      <c r="O23" s="205"/>
      <c r="P23" s="203"/>
      <c r="Q23" s="204"/>
    </row>
    <row r="24" spans="1:17" x14ac:dyDescent="0.25">
      <c r="A24" s="249" t="str">
        <f>'A4-FinPerf RE'!A24</f>
        <v>Expenditure By Type</v>
      </c>
      <c r="B24" s="862"/>
      <c r="C24" s="205"/>
      <c r="D24" s="203"/>
      <c r="E24" s="203"/>
      <c r="F24" s="203"/>
      <c r="G24" s="203"/>
      <c r="H24" s="203"/>
      <c r="I24" s="203"/>
      <c r="J24" s="203"/>
      <c r="K24" s="203"/>
      <c r="L24" s="203"/>
      <c r="M24" s="203"/>
      <c r="N24" s="803"/>
      <c r="O24" s="205"/>
      <c r="P24" s="203"/>
      <c r="Q24" s="204"/>
    </row>
    <row r="25" spans="1:17" ht="11.25" customHeight="1" x14ac:dyDescent="0.25">
      <c r="A25" s="250" t="str">
        <f>'A4-FinPerf RE'!A25</f>
        <v>Employee related costs</v>
      </c>
      <c r="B25" s="859"/>
      <c r="C25" s="1629">
        <v>8945042.5099999998</v>
      </c>
      <c r="D25" s="1606">
        <v>8945042.5099999998</v>
      </c>
      <c r="E25" s="1606">
        <v>8945042.5099999998</v>
      </c>
      <c r="F25" s="1606">
        <v>8945042.5099999998</v>
      </c>
      <c r="G25" s="1606">
        <v>8945042.5099999998</v>
      </c>
      <c r="H25" s="1606">
        <v>8945042.5099999998</v>
      </c>
      <c r="I25" s="1606">
        <v>8945042.5099999998</v>
      </c>
      <c r="J25" s="1606">
        <v>8945042.5099999998</v>
      </c>
      <c r="K25" s="1606">
        <v>8945042.5099999998</v>
      </c>
      <c r="L25" s="1606">
        <v>8945042.5099999998</v>
      </c>
      <c r="M25" s="1606">
        <v>8945042.5099999998</v>
      </c>
      <c r="N25" s="803">
        <f t="shared" ref="N25:N35" si="2">O25-SUM(C25:M25)</f>
        <v>8945042.5099999905</v>
      </c>
      <c r="O25" s="205">
        <f>'A4-FinPerf RE'!J25</f>
        <v>107340510.12</v>
      </c>
      <c r="P25" s="203">
        <f>'A4-FinPerf RE'!K25</f>
        <v>113673600.21707998</v>
      </c>
      <c r="Q25" s="204">
        <f>'A4-FinPerf RE'!L25</f>
        <v>120039321.82923649</v>
      </c>
    </row>
    <row r="26" spans="1:17" ht="11.25" customHeight="1" x14ac:dyDescent="0.25">
      <c r="A26" s="250" t="str">
        <f>'A4-FinPerf RE'!A26</f>
        <v>Remuneration of councillors</v>
      </c>
      <c r="B26" s="859"/>
      <c r="C26" s="1629">
        <v>1538541.6266666667</v>
      </c>
      <c r="D26" s="1606">
        <v>1538541.6266666667</v>
      </c>
      <c r="E26" s="1606">
        <v>1538541.6266666667</v>
      </c>
      <c r="F26" s="1606">
        <v>1538541.6266666667</v>
      </c>
      <c r="G26" s="1606">
        <v>1538541.6266666667</v>
      </c>
      <c r="H26" s="1606">
        <v>1538541.6266666667</v>
      </c>
      <c r="I26" s="1606">
        <v>1538541.6266666667</v>
      </c>
      <c r="J26" s="1606">
        <v>1538541.6266666667</v>
      </c>
      <c r="K26" s="1606">
        <v>1538541.6266666667</v>
      </c>
      <c r="L26" s="1606">
        <v>1538541.6266666667</v>
      </c>
      <c r="M26" s="1606">
        <v>1538541.6266666667</v>
      </c>
      <c r="N26" s="803">
        <f t="shared" si="2"/>
        <v>1538541.6266666688</v>
      </c>
      <c r="O26" s="205">
        <f>'A4-FinPerf RE'!J26</f>
        <v>18462499.520000003</v>
      </c>
      <c r="P26" s="203">
        <f>'A4-FinPerf RE'!K26</f>
        <v>19551786.991680004</v>
      </c>
      <c r="Q26" s="204">
        <f>'A4-FinPerf RE'!L26</f>
        <v>20646687.063214086</v>
      </c>
    </row>
    <row r="27" spans="1:17" ht="11.25" customHeight="1" x14ac:dyDescent="0.25">
      <c r="A27" s="250" t="str">
        <f>'A4-FinPerf RE'!A27</f>
        <v>Debt impairment</v>
      </c>
      <c r="B27" s="859"/>
      <c r="C27" s="1629">
        <v>4890422.083333333</v>
      </c>
      <c r="D27" s="1606">
        <v>4890422.083333333</v>
      </c>
      <c r="E27" s="1606">
        <v>4890422.083333333</v>
      </c>
      <c r="F27" s="1606">
        <v>4890422.083333333</v>
      </c>
      <c r="G27" s="1606">
        <v>4890422.083333333</v>
      </c>
      <c r="H27" s="1606">
        <v>4890422.083333333</v>
      </c>
      <c r="I27" s="1606">
        <v>4890422.083333333</v>
      </c>
      <c r="J27" s="1606">
        <v>4890422.083333333</v>
      </c>
      <c r="K27" s="1606">
        <v>4890422.083333333</v>
      </c>
      <c r="L27" s="1606">
        <v>4890422.083333333</v>
      </c>
      <c r="M27" s="1606">
        <v>4890422.083333333</v>
      </c>
      <c r="N27" s="803">
        <f t="shared" si="2"/>
        <v>4890422.0833333284</v>
      </c>
      <c r="O27" s="205">
        <f>'A4-FinPerf RE'!J27</f>
        <v>58685065</v>
      </c>
      <c r="P27" s="203">
        <f>'A4-FinPerf RE'!K27</f>
        <v>62147483.834999993</v>
      </c>
      <c r="Q27" s="204">
        <f>'A4-FinPerf RE'!L27</f>
        <v>65627742.929759994</v>
      </c>
    </row>
    <row r="28" spans="1:17" ht="11.25" customHeight="1" x14ac:dyDescent="0.25">
      <c r="A28" s="250" t="str">
        <f>'A4-FinPerf RE'!A28</f>
        <v>Depreciation &amp; asset impairment</v>
      </c>
      <c r="B28" s="859"/>
      <c r="C28" s="1629">
        <v>12583341.666666666</v>
      </c>
      <c r="D28" s="1606">
        <v>12583341.666666666</v>
      </c>
      <c r="E28" s="1606">
        <v>12583341.666666666</v>
      </c>
      <c r="F28" s="1606">
        <v>12583341.666666666</v>
      </c>
      <c r="G28" s="1606">
        <v>12583341.666666666</v>
      </c>
      <c r="H28" s="1606">
        <v>12583341.666666666</v>
      </c>
      <c r="I28" s="1606">
        <v>12583341.666666666</v>
      </c>
      <c r="J28" s="1606">
        <v>12583341.666666666</v>
      </c>
      <c r="K28" s="1606">
        <v>12583341.666666666</v>
      </c>
      <c r="L28" s="1606">
        <v>12583341.666666666</v>
      </c>
      <c r="M28" s="1606">
        <v>12583341.666666666</v>
      </c>
      <c r="N28" s="803">
        <f t="shared" si="2"/>
        <v>12583341.666666657</v>
      </c>
      <c r="O28" s="205">
        <f>'A4-FinPerf RE'!J28</f>
        <v>151000100</v>
      </c>
      <c r="P28" s="203">
        <f>'A4-FinPerf RE'!K28</f>
        <v>159909105.90000001</v>
      </c>
      <c r="Q28" s="204">
        <f>'A4-FinPerf RE'!L28</f>
        <v>168864015.83040002</v>
      </c>
    </row>
    <row r="29" spans="1:17" ht="11.25" customHeight="1" x14ac:dyDescent="0.25">
      <c r="A29" s="250" t="str">
        <f>'A4-FinPerf RE'!A29</f>
        <v>Finance charges</v>
      </c>
      <c r="B29" s="859"/>
      <c r="C29" s="1629">
        <v>0</v>
      </c>
      <c r="D29" s="1606">
        <v>0</v>
      </c>
      <c r="E29" s="1606">
        <v>0</v>
      </c>
      <c r="F29" s="1606">
        <v>0</v>
      </c>
      <c r="G29" s="1606">
        <v>0</v>
      </c>
      <c r="H29" s="1606">
        <v>0</v>
      </c>
      <c r="I29" s="1606">
        <v>0</v>
      </c>
      <c r="J29" s="1606">
        <v>0</v>
      </c>
      <c r="K29" s="1606">
        <v>0</v>
      </c>
      <c r="L29" s="1606">
        <v>0</v>
      </c>
      <c r="M29" s="1606">
        <v>0</v>
      </c>
      <c r="N29" s="803">
        <f t="shared" si="2"/>
        <v>0</v>
      </c>
      <c r="O29" s="205">
        <f>'A4-FinPerf RE'!J29</f>
        <v>0</v>
      </c>
      <c r="P29" s="203">
        <f>'A4-FinPerf RE'!K29</f>
        <v>0</v>
      </c>
      <c r="Q29" s="204">
        <f>'A4-FinPerf RE'!L29</f>
        <v>0</v>
      </c>
    </row>
    <row r="30" spans="1:17" ht="11.25" customHeight="1" x14ac:dyDescent="0.25">
      <c r="A30" s="250" t="str">
        <f>'A4-FinPerf RE'!A30</f>
        <v>Bulk purchases</v>
      </c>
      <c r="B30" s="859"/>
      <c r="C30" s="1629">
        <v>12470088.416666666</v>
      </c>
      <c r="D30" s="1629">
        <v>12470088.416666666</v>
      </c>
      <c r="E30" s="1629">
        <v>12470088.416666666</v>
      </c>
      <c r="F30" s="1629">
        <v>12470088.416666666</v>
      </c>
      <c r="G30" s="1629">
        <v>12470088.416666666</v>
      </c>
      <c r="H30" s="1629">
        <v>12470088.416666666</v>
      </c>
      <c r="I30" s="1629">
        <v>12470088.416666666</v>
      </c>
      <c r="J30" s="1629">
        <v>12470088.416666666</v>
      </c>
      <c r="K30" s="1629">
        <v>12470088.416666666</v>
      </c>
      <c r="L30" s="1629">
        <v>12470088.416666666</v>
      </c>
      <c r="M30" s="1629">
        <v>12470088.416666666</v>
      </c>
      <c r="N30" s="803">
        <f t="shared" si="2"/>
        <v>12470088.416666657</v>
      </c>
      <c r="O30" s="205">
        <f>'A4-FinPerf RE'!J30</f>
        <v>149641061</v>
      </c>
      <c r="P30" s="203">
        <f>'A4-FinPerf RE'!K30</f>
        <v>158469883.59899998</v>
      </c>
      <c r="Q30" s="204">
        <f>'A4-FinPerf RE'!L30</f>
        <v>167344197.08054399</v>
      </c>
    </row>
    <row r="31" spans="1:17" ht="11.25" customHeight="1" x14ac:dyDescent="0.25">
      <c r="A31" s="250" t="str">
        <f>'A4-FinPerf RE'!A31</f>
        <v>Other materials</v>
      </c>
      <c r="B31" s="859"/>
      <c r="C31" s="1629">
        <f>1100000/12</f>
        <v>91666.666666666672</v>
      </c>
      <c r="D31" s="1606">
        <v>91666.666666666672</v>
      </c>
      <c r="E31" s="1606">
        <v>91666.666666666672</v>
      </c>
      <c r="F31" s="1606">
        <v>91666.666666666672</v>
      </c>
      <c r="G31" s="1606">
        <v>91666.666666666672</v>
      </c>
      <c r="H31" s="1606">
        <v>91666.666666666672</v>
      </c>
      <c r="I31" s="1606">
        <v>91666.666666666672</v>
      </c>
      <c r="J31" s="1606">
        <v>91666.666666666672</v>
      </c>
      <c r="K31" s="1606">
        <v>91666.666666666672</v>
      </c>
      <c r="L31" s="1606">
        <v>91666.666666666672</v>
      </c>
      <c r="M31" s="1606">
        <v>91666.666666666672</v>
      </c>
      <c r="N31" s="803">
        <f t="shared" si="2"/>
        <v>91666.666666666861</v>
      </c>
      <c r="O31" s="205">
        <f>'A4-FinPerf RE'!J31</f>
        <v>1100000</v>
      </c>
      <c r="P31" s="203">
        <f>'A4-FinPerf RE'!K31</f>
        <v>1164900</v>
      </c>
      <c r="Q31" s="204">
        <f>'A4-FinPerf RE'!L31</f>
        <v>1230134.4000000001</v>
      </c>
    </row>
    <row r="32" spans="1:17" ht="11.25" customHeight="1" x14ac:dyDescent="0.25">
      <c r="A32" s="250" t="str">
        <f>'A4-FinPerf RE'!A32</f>
        <v>Contracted services</v>
      </c>
      <c r="B32" s="859"/>
      <c r="C32" s="1629">
        <v>916666.66666666663</v>
      </c>
      <c r="D32" s="1606">
        <v>916666.66666666663</v>
      </c>
      <c r="E32" s="1606">
        <v>916666.66666666663</v>
      </c>
      <c r="F32" s="1606">
        <v>916666.66666666663</v>
      </c>
      <c r="G32" s="1606">
        <v>916666.66666666663</v>
      </c>
      <c r="H32" s="1606">
        <v>916666.66666666663</v>
      </c>
      <c r="I32" s="1606">
        <v>916666.66666666663</v>
      </c>
      <c r="J32" s="1606">
        <v>916666.66666666663</v>
      </c>
      <c r="K32" s="1606">
        <v>916666.66666666663</v>
      </c>
      <c r="L32" s="1606">
        <v>916666.66666666663</v>
      </c>
      <c r="M32" s="1606">
        <v>916666.66666666663</v>
      </c>
      <c r="N32" s="803">
        <f t="shared" si="2"/>
        <v>916666.66666666605</v>
      </c>
      <c r="O32" s="205">
        <f>'A4-FinPerf RE'!J32</f>
        <v>11000000</v>
      </c>
      <c r="P32" s="203">
        <f>'A4-FinPerf RE'!K32</f>
        <v>11649000</v>
      </c>
      <c r="Q32" s="204">
        <f>'A4-FinPerf RE'!L32</f>
        <v>12301344</v>
      </c>
    </row>
    <row r="33" spans="1:17" ht="11.25" customHeight="1" x14ac:dyDescent="0.25">
      <c r="A33" s="250" t="str">
        <f>'A4-FinPerf RE'!A33</f>
        <v>Transfers and grants</v>
      </c>
      <c r="B33" s="859"/>
      <c r="C33" s="1629">
        <v>1546803.3333333333</v>
      </c>
      <c r="D33" s="1606">
        <v>1546803.3333333333</v>
      </c>
      <c r="E33" s="1606">
        <v>1546803.3333333333</v>
      </c>
      <c r="F33" s="1606">
        <v>1546803.3333333333</v>
      </c>
      <c r="G33" s="1606">
        <v>1546803.3333333333</v>
      </c>
      <c r="H33" s="1606">
        <v>1546803.3333333333</v>
      </c>
      <c r="I33" s="1606">
        <v>1546803.3333333333</v>
      </c>
      <c r="J33" s="1606">
        <v>1546803.3333333333</v>
      </c>
      <c r="K33" s="1606">
        <v>1546803.3333333333</v>
      </c>
      <c r="L33" s="1606">
        <v>1546803.3333333333</v>
      </c>
      <c r="M33" s="1606">
        <v>1546803.3333333333</v>
      </c>
      <c r="N33" s="803">
        <f t="shared" si="2"/>
        <v>1546803.3333333321</v>
      </c>
      <c r="O33" s="205">
        <f>'A4-FinPerf RE'!J33</f>
        <v>18561640</v>
      </c>
      <c r="P33" s="203">
        <f>'A4-FinPerf RE'!K33</f>
        <v>19656776.759999998</v>
      </c>
      <c r="Q33" s="204">
        <f>'A4-FinPerf RE'!L33</f>
        <v>20757556.258560002</v>
      </c>
    </row>
    <row r="34" spans="1:17" ht="11.25" customHeight="1" x14ac:dyDescent="0.25">
      <c r="A34" s="250" t="str">
        <f>'A4-FinPerf RE'!A34</f>
        <v>Other expenditure</v>
      </c>
      <c r="B34" s="859"/>
      <c r="C34" s="1606">
        <v>9512725.25</v>
      </c>
      <c r="D34" s="1606">
        <v>9512725.25</v>
      </c>
      <c r="E34" s="1606">
        <v>9512725.25</v>
      </c>
      <c r="F34" s="1606">
        <v>9512725.25</v>
      </c>
      <c r="G34" s="1606">
        <v>9512725.25</v>
      </c>
      <c r="H34" s="1606">
        <v>9512725.25</v>
      </c>
      <c r="I34" s="1606">
        <v>9512725.25</v>
      </c>
      <c r="J34" s="1606">
        <v>9512725.25</v>
      </c>
      <c r="K34" s="1606">
        <v>9512725.25</v>
      </c>
      <c r="L34" s="1606">
        <v>9512725.25</v>
      </c>
      <c r="M34" s="1606">
        <v>9512725.25</v>
      </c>
      <c r="N34" s="803">
        <f t="shared" si="2"/>
        <v>9512725.2499998808</v>
      </c>
      <c r="O34" s="205">
        <f>'A4-FinPerf RE'!J34</f>
        <v>114152702.99999988</v>
      </c>
      <c r="P34" s="203">
        <f>'A4-FinPerf RE'!K34</f>
        <v>120887712.477</v>
      </c>
      <c r="Q34" s="204">
        <f>'A4-FinPerf RE'!L34</f>
        <v>127657424.37571204</v>
      </c>
    </row>
    <row r="35" spans="1:17" ht="11.25" customHeight="1" x14ac:dyDescent="0.25">
      <c r="A35" s="250" t="str">
        <f>'A4-FinPerf RE'!A35</f>
        <v>Loss on disposal of PPE</v>
      </c>
      <c r="B35" s="859"/>
      <c r="C35" s="1629">
        <v>0</v>
      </c>
      <c r="D35" s="1606">
        <v>0</v>
      </c>
      <c r="E35" s="1606">
        <v>0</v>
      </c>
      <c r="F35" s="1606">
        <v>0</v>
      </c>
      <c r="G35" s="1606">
        <v>0</v>
      </c>
      <c r="H35" s="1606">
        <v>0</v>
      </c>
      <c r="I35" s="1606">
        <v>0</v>
      </c>
      <c r="J35" s="1606">
        <v>0</v>
      </c>
      <c r="K35" s="1606">
        <v>0</v>
      </c>
      <c r="L35" s="1606">
        <v>0</v>
      </c>
      <c r="M35" s="1606">
        <v>0</v>
      </c>
      <c r="N35" s="803">
        <f t="shared" si="2"/>
        <v>0</v>
      </c>
      <c r="O35" s="205">
        <f>'A4-FinPerf RE'!J35</f>
        <v>0</v>
      </c>
      <c r="P35" s="203">
        <f>'A4-FinPerf RE'!K35</f>
        <v>0</v>
      </c>
      <c r="Q35" s="204">
        <f>'A4-FinPerf RE'!L35</f>
        <v>0</v>
      </c>
    </row>
    <row r="36" spans="1:17" x14ac:dyDescent="0.25">
      <c r="A36" s="265" t="str">
        <f>'A4-FinPerf RE'!A36</f>
        <v>Total Expenditure</v>
      </c>
      <c r="B36" s="860"/>
      <c r="C36" s="215">
        <f>SUM(C25:C35)</f>
        <v>52495298.219999991</v>
      </c>
      <c r="D36" s="213">
        <f t="shared" ref="D36:Q36" si="3">SUM(D25:D35)</f>
        <v>52495298.219999991</v>
      </c>
      <c r="E36" s="213">
        <f t="shared" si="3"/>
        <v>52495298.219999991</v>
      </c>
      <c r="F36" s="213">
        <f t="shared" si="3"/>
        <v>52495298.219999991</v>
      </c>
      <c r="G36" s="213">
        <f t="shared" si="3"/>
        <v>52495298.219999991</v>
      </c>
      <c r="H36" s="213">
        <f t="shared" si="3"/>
        <v>52495298.219999991</v>
      </c>
      <c r="I36" s="213">
        <f t="shared" si="3"/>
        <v>52495298.219999991</v>
      </c>
      <c r="J36" s="213">
        <f t="shared" si="3"/>
        <v>52495298.219999991</v>
      </c>
      <c r="K36" s="213">
        <f t="shared" si="3"/>
        <v>52495298.219999991</v>
      </c>
      <c r="L36" s="213">
        <f t="shared" si="3"/>
        <v>52495298.219999991</v>
      </c>
      <c r="M36" s="213">
        <f t="shared" si="3"/>
        <v>52495298.219999991</v>
      </c>
      <c r="N36" s="861">
        <f t="shared" si="3"/>
        <v>52495298.219999835</v>
      </c>
      <c r="O36" s="215">
        <f t="shared" si="3"/>
        <v>629943578.63999987</v>
      </c>
      <c r="P36" s="213">
        <f t="shared" si="3"/>
        <v>667110249.77976</v>
      </c>
      <c r="Q36" s="214">
        <f t="shared" si="3"/>
        <v>704468423.76742661</v>
      </c>
    </row>
    <row r="37" spans="1:17" ht="5.0999999999999996" customHeight="1" x14ac:dyDescent="0.25">
      <c r="A37" s="273"/>
      <c r="B37" s="859"/>
      <c r="C37" s="205"/>
      <c r="D37" s="203"/>
      <c r="E37" s="203"/>
      <c r="F37" s="203"/>
      <c r="G37" s="203"/>
      <c r="H37" s="203"/>
      <c r="I37" s="203"/>
      <c r="J37" s="203"/>
      <c r="K37" s="203"/>
      <c r="L37" s="203"/>
      <c r="M37" s="203"/>
      <c r="N37" s="803"/>
      <c r="O37" s="205"/>
      <c r="P37" s="203"/>
      <c r="Q37" s="204"/>
    </row>
    <row r="38" spans="1:17" x14ac:dyDescent="0.25">
      <c r="A38" s="863" t="str">
        <f>'A4-FinPerf RE'!A38</f>
        <v>Surplus/(Deficit)</v>
      </c>
      <c r="B38" s="864"/>
      <c r="C38" s="215">
        <f t="shared" ref="C38:Q38" si="4">C22-C36</f>
        <v>-11758875.177499995</v>
      </c>
      <c r="D38" s="213">
        <f t="shared" si="4"/>
        <v>-11758875.177499995</v>
      </c>
      <c r="E38" s="213">
        <f t="shared" si="4"/>
        <v>-11758875.177499995</v>
      </c>
      <c r="F38" s="213">
        <f t="shared" si="4"/>
        <v>-11758875.177499995</v>
      </c>
      <c r="G38" s="213">
        <f t="shared" si="4"/>
        <v>-11758875.177499995</v>
      </c>
      <c r="H38" s="213">
        <f t="shared" si="4"/>
        <v>-11758875.177499995</v>
      </c>
      <c r="I38" s="213">
        <f t="shared" si="4"/>
        <v>-11758875.177499995</v>
      </c>
      <c r="J38" s="213">
        <f t="shared" si="4"/>
        <v>-11758875.177499995</v>
      </c>
      <c r="K38" s="213">
        <f t="shared" si="4"/>
        <v>-11758875.177499995</v>
      </c>
      <c r="L38" s="213">
        <f t="shared" si="4"/>
        <v>-11758875.177499995</v>
      </c>
      <c r="M38" s="213">
        <f t="shared" si="4"/>
        <v>-11758875.177499995</v>
      </c>
      <c r="N38" s="861">
        <f t="shared" si="4"/>
        <v>-11758874.897499822</v>
      </c>
      <c r="O38" s="215">
        <f t="shared" si="4"/>
        <v>-141106501.8499999</v>
      </c>
      <c r="P38" s="213">
        <f t="shared" si="4"/>
        <v>-149431785.45915002</v>
      </c>
      <c r="Q38" s="214">
        <f t="shared" si="4"/>
        <v>-157799965.44486248</v>
      </c>
    </row>
    <row r="39" spans="1:17" ht="11.25" customHeight="1" x14ac:dyDescent="0.25">
      <c r="A39" s="250" t="str">
        <f>'A4-FinPerf RE'!A39</f>
        <v>Transfers recognised - capital</v>
      </c>
      <c r="B39" s="859"/>
      <c r="C39" s="1629">
        <v>10019916.666666666</v>
      </c>
      <c r="D39" s="1606">
        <v>10019916.666666666</v>
      </c>
      <c r="E39" s="1606">
        <v>10019916.666666666</v>
      </c>
      <c r="F39" s="1606">
        <v>10019916.666666666</v>
      </c>
      <c r="G39" s="1606">
        <v>10019916.666666666</v>
      </c>
      <c r="H39" s="1606">
        <v>10019916.666666666</v>
      </c>
      <c r="I39" s="1606">
        <v>10019916.666666666</v>
      </c>
      <c r="J39" s="1606">
        <v>10019916.666666666</v>
      </c>
      <c r="K39" s="1606">
        <v>10019916.666666666</v>
      </c>
      <c r="L39" s="1606">
        <v>10019916.666666666</v>
      </c>
      <c r="M39" s="1606">
        <v>10019916.666666666</v>
      </c>
      <c r="N39" s="803">
        <f>O39-SUM(C39:M39)</f>
        <v>10019916.666666657</v>
      </c>
      <c r="O39" s="205">
        <f>'A4-FinPerf RE'!J39</f>
        <v>120239000</v>
      </c>
      <c r="P39" s="203">
        <f>'A4-FinPerf RE'!K39</f>
        <v>127333101</v>
      </c>
      <c r="Q39" s="204">
        <f>'A4-FinPerf RE'!L39</f>
        <v>134463754.65600002</v>
      </c>
    </row>
    <row r="40" spans="1:17" ht="11.25" customHeight="1" x14ac:dyDescent="0.25">
      <c r="A40" s="250" t="str">
        <f>'A4-FinPerf RE'!A40</f>
        <v>Contributions recognised - capital</v>
      </c>
      <c r="B40" s="859"/>
      <c r="C40" s="1629">
        <v>0</v>
      </c>
      <c r="D40" s="1606">
        <v>0</v>
      </c>
      <c r="E40" s="1606">
        <v>0</v>
      </c>
      <c r="F40" s="1606">
        <v>0</v>
      </c>
      <c r="G40" s="1606">
        <v>0</v>
      </c>
      <c r="H40" s="1606">
        <v>0</v>
      </c>
      <c r="I40" s="1606">
        <v>0</v>
      </c>
      <c r="J40" s="1606">
        <v>0</v>
      </c>
      <c r="K40" s="1606">
        <v>0</v>
      </c>
      <c r="L40" s="1606">
        <v>0</v>
      </c>
      <c r="M40" s="1606">
        <v>0</v>
      </c>
      <c r="N40" s="803">
        <f>O40-SUM(C40:M40)</f>
        <v>0</v>
      </c>
      <c r="O40" s="205">
        <f>'A4-FinPerf RE'!J40</f>
        <v>0</v>
      </c>
      <c r="P40" s="203">
        <f>'A4-FinPerf RE'!K40</f>
        <v>0</v>
      </c>
      <c r="Q40" s="204">
        <f>'A4-FinPerf RE'!L40</f>
        <v>0</v>
      </c>
    </row>
    <row r="41" spans="1:17" ht="11.25" customHeight="1" x14ac:dyDescent="0.25">
      <c r="A41" s="250" t="str">
        <f>'A4-FinPerf RE'!A41</f>
        <v>Contributed assets</v>
      </c>
      <c r="B41" s="859"/>
      <c r="C41" s="1629">
        <v>0</v>
      </c>
      <c r="D41" s="1606">
        <v>0</v>
      </c>
      <c r="E41" s="1606">
        <v>0</v>
      </c>
      <c r="F41" s="1606">
        <v>0</v>
      </c>
      <c r="G41" s="1606">
        <v>0</v>
      </c>
      <c r="H41" s="1606">
        <v>0</v>
      </c>
      <c r="I41" s="1606">
        <v>0</v>
      </c>
      <c r="J41" s="1606">
        <v>0</v>
      </c>
      <c r="K41" s="1606">
        <v>0</v>
      </c>
      <c r="L41" s="1606">
        <v>0</v>
      </c>
      <c r="M41" s="1606">
        <v>0</v>
      </c>
      <c r="N41" s="803">
        <f>O41-SUM(C41:M41)</f>
        <v>0</v>
      </c>
      <c r="O41" s="205">
        <f>'A4-FinPerf RE'!J41</f>
        <v>0</v>
      </c>
      <c r="P41" s="203">
        <f>'A4-FinPerf RE'!K41</f>
        <v>0</v>
      </c>
      <c r="Q41" s="204">
        <f>'A4-FinPerf RE'!L41</f>
        <v>0</v>
      </c>
    </row>
    <row r="42" spans="1:17" s="764" customFormat="1" ht="22.5" customHeight="1" x14ac:dyDescent="0.2">
      <c r="A42" s="865" t="str">
        <f>'A4-FinPerf RE'!A42</f>
        <v>Surplus/(Deficit) after capital transfers &amp; contributions</v>
      </c>
      <c r="B42" s="866"/>
      <c r="C42" s="867">
        <f t="shared" ref="C42:N42" si="5">C38+SUM(C39:C41)</f>
        <v>-1738958.5108333286</v>
      </c>
      <c r="D42" s="868">
        <f t="shared" si="5"/>
        <v>-1738958.5108333286</v>
      </c>
      <c r="E42" s="868">
        <f t="shared" si="5"/>
        <v>-1738958.5108333286</v>
      </c>
      <c r="F42" s="868">
        <f t="shared" si="5"/>
        <v>-1738958.5108333286</v>
      </c>
      <c r="G42" s="868">
        <f t="shared" si="5"/>
        <v>-1738958.5108333286</v>
      </c>
      <c r="H42" s="868">
        <f t="shared" si="5"/>
        <v>-1738958.5108333286</v>
      </c>
      <c r="I42" s="868">
        <f t="shared" si="5"/>
        <v>-1738958.5108333286</v>
      </c>
      <c r="J42" s="868">
        <f t="shared" si="5"/>
        <v>-1738958.5108333286</v>
      </c>
      <c r="K42" s="868">
        <f t="shared" si="5"/>
        <v>-1738958.5108333286</v>
      </c>
      <c r="L42" s="868">
        <f t="shared" si="5"/>
        <v>-1738958.5108333286</v>
      </c>
      <c r="M42" s="868">
        <f t="shared" si="5"/>
        <v>-1738958.5108333286</v>
      </c>
      <c r="N42" s="869">
        <f t="shared" si="5"/>
        <v>-1738958.2308331653</v>
      </c>
      <c r="O42" s="867">
        <f>O38+SUM(O39:O41)</f>
        <v>-20867501.849999905</v>
      </c>
      <c r="P42" s="868">
        <f>P38+SUM(P39:P41)</f>
        <v>-22098684.459150016</v>
      </c>
      <c r="Q42" s="870">
        <f>Q38+SUM(Q39:Q41)</f>
        <v>-23336210.788862467</v>
      </c>
    </row>
    <row r="43" spans="1:17" ht="11.25" customHeight="1" x14ac:dyDescent="0.25">
      <c r="A43" s="250" t="str">
        <f>'A4-FinPerf RE'!A43</f>
        <v>Taxation</v>
      </c>
      <c r="B43" s="859"/>
      <c r="C43" s="1629">
        <v>0</v>
      </c>
      <c r="D43" s="1606">
        <v>0</v>
      </c>
      <c r="E43" s="1606">
        <v>0</v>
      </c>
      <c r="F43" s="1606">
        <v>0</v>
      </c>
      <c r="G43" s="1606">
        <v>0</v>
      </c>
      <c r="H43" s="1606">
        <v>0</v>
      </c>
      <c r="I43" s="1606">
        <v>0</v>
      </c>
      <c r="J43" s="1606">
        <v>0</v>
      </c>
      <c r="K43" s="1606">
        <v>0</v>
      </c>
      <c r="L43" s="1606">
        <v>0</v>
      </c>
      <c r="M43" s="1606">
        <v>0</v>
      </c>
      <c r="N43" s="803">
        <f>O43-SUM(C43:M43)</f>
        <v>0</v>
      </c>
      <c r="O43" s="205">
        <f>'A4-FinPerf RE'!J43</f>
        <v>0</v>
      </c>
      <c r="P43" s="203">
        <f>'A4-FinPerf RE'!K43</f>
        <v>0</v>
      </c>
      <c r="Q43" s="204">
        <f>'A4-FinPerf RE'!L43</f>
        <v>0</v>
      </c>
    </row>
    <row r="44" spans="1:17" ht="11.25" customHeight="1" x14ac:dyDescent="0.25">
      <c r="A44" s="250" t="str">
        <f>'A4-FinPerf RE'!A45</f>
        <v>Attributable to minorities</v>
      </c>
      <c r="B44" s="859"/>
      <c r="C44" s="1629">
        <v>0</v>
      </c>
      <c r="D44" s="1606">
        <v>0</v>
      </c>
      <c r="E44" s="1606">
        <v>0</v>
      </c>
      <c r="F44" s="1606">
        <v>0</v>
      </c>
      <c r="G44" s="1606">
        <v>0</v>
      </c>
      <c r="H44" s="1606">
        <v>0</v>
      </c>
      <c r="I44" s="1606">
        <v>0</v>
      </c>
      <c r="J44" s="1606">
        <v>0</v>
      </c>
      <c r="K44" s="1606">
        <v>0</v>
      </c>
      <c r="L44" s="1606">
        <v>0</v>
      </c>
      <c r="M44" s="1606">
        <v>0</v>
      </c>
      <c r="N44" s="803">
        <f>O44-SUM(C44:M44)</f>
        <v>0</v>
      </c>
      <c r="O44" s="205">
        <f>'A4-FinPerf RE'!J45</f>
        <v>0</v>
      </c>
      <c r="P44" s="203">
        <f>'A4-FinPerf RE'!K45</f>
        <v>0</v>
      </c>
      <c r="Q44" s="204">
        <f>'A4-FinPerf RE'!L45</f>
        <v>0</v>
      </c>
    </row>
    <row r="45" spans="1:17" x14ac:dyDescent="0.25">
      <c r="A45" s="523" t="str">
        <f>'A4-FinPerf RE'!A47</f>
        <v>Share of surplus/ (deficit) of associate</v>
      </c>
      <c r="B45" s="871"/>
      <c r="C45" s="1629">
        <v>0</v>
      </c>
      <c r="D45" s="1606">
        <v>0</v>
      </c>
      <c r="E45" s="1606">
        <v>0</v>
      </c>
      <c r="F45" s="1606">
        <v>0</v>
      </c>
      <c r="G45" s="1606">
        <v>0</v>
      </c>
      <c r="H45" s="1606">
        <v>0</v>
      </c>
      <c r="I45" s="1606">
        <v>0</v>
      </c>
      <c r="J45" s="1606">
        <v>0</v>
      </c>
      <c r="K45" s="1606">
        <v>0</v>
      </c>
      <c r="L45" s="1606">
        <v>0</v>
      </c>
      <c r="M45" s="1606">
        <v>0</v>
      </c>
      <c r="N45" s="803">
        <f>O45-SUM(C45:M45)</f>
        <v>0</v>
      </c>
      <c r="O45" s="205">
        <f>'A4-FinPerf RE'!J47</f>
        <v>0</v>
      </c>
      <c r="P45" s="203">
        <f>'A4-FinPerf RE'!K47</f>
        <v>0</v>
      </c>
      <c r="Q45" s="204">
        <f>'A4-FinPerf RE'!L47</f>
        <v>0</v>
      </c>
    </row>
    <row r="46" spans="1:17" x14ac:dyDescent="0.25">
      <c r="A46" s="844" t="str">
        <f>'A4-FinPerf RE'!A38</f>
        <v>Surplus/(Deficit)</v>
      </c>
      <c r="B46" s="872">
        <v>1</v>
      </c>
      <c r="C46" s="353">
        <f t="shared" ref="C46:N46" si="6">C42+SUM(C43:C45)</f>
        <v>-1738958.5108333286</v>
      </c>
      <c r="D46" s="227">
        <f t="shared" si="6"/>
        <v>-1738958.5108333286</v>
      </c>
      <c r="E46" s="227">
        <f t="shared" si="6"/>
        <v>-1738958.5108333286</v>
      </c>
      <c r="F46" s="227">
        <f t="shared" si="6"/>
        <v>-1738958.5108333286</v>
      </c>
      <c r="G46" s="227">
        <f t="shared" si="6"/>
        <v>-1738958.5108333286</v>
      </c>
      <c r="H46" s="227">
        <f t="shared" si="6"/>
        <v>-1738958.5108333286</v>
      </c>
      <c r="I46" s="227">
        <f t="shared" si="6"/>
        <v>-1738958.5108333286</v>
      </c>
      <c r="J46" s="227">
        <f t="shared" si="6"/>
        <v>-1738958.5108333286</v>
      </c>
      <c r="K46" s="227">
        <f t="shared" si="6"/>
        <v>-1738958.5108333286</v>
      </c>
      <c r="L46" s="227">
        <f t="shared" si="6"/>
        <v>-1738958.5108333286</v>
      </c>
      <c r="M46" s="227">
        <f t="shared" si="6"/>
        <v>-1738958.5108333286</v>
      </c>
      <c r="N46" s="814">
        <f t="shared" si="6"/>
        <v>-1738958.2308331653</v>
      </c>
      <c r="O46" s="353">
        <f>O42+SUM(O43:O45)</f>
        <v>-20867501.849999905</v>
      </c>
      <c r="P46" s="227">
        <f>P42+SUM(P43:P45)</f>
        <v>-22098684.459150016</v>
      </c>
      <c r="Q46" s="352">
        <f>Q42+SUM(Q43:Q45)</f>
        <v>-23336210.788862467</v>
      </c>
    </row>
    <row r="47" spans="1:17" s="708" customFormat="1" x14ac:dyDescent="0.25">
      <c r="A47" s="1416" t="str">
        <f>head27a</f>
        <v>References</v>
      </c>
      <c r="B47" s="1080"/>
      <c r="C47" s="1035"/>
      <c r="D47" s="1035"/>
      <c r="E47" s="1035"/>
      <c r="F47" s="1035"/>
      <c r="G47" s="1035"/>
      <c r="H47" s="1035"/>
      <c r="I47" s="1035"/>
      <c r="J47" s="1035"/>
      <c r="K47" s="1035"/>
      <c r="L47" s="1035"/>
      <c r="M47" s="1035"/>
      <c r="N47" s="1035"/>
      <c r="O47" s="1035"/>
      <c r="P47" s="1035"/>
      <c r="Q47" s="1035"/>
    </row>
    <row r="48" spans="1:17" s="708" customFormat="1" x14ac:dyDescent="0.25">
      <c r="A48" s="1414" t="s">
        <v>1594</v>
      </c>
    </row>
    <row r="49" spans="1:17" x14ac:dyDescent="0.25">
      <c r="A49" s="436" t="s">
        <v>1509</v>
      </c>
      <c r="B49" s="436"/>
      <c r="O49" s="874">
        <f>O46-'A4-FinPerf RE'!J48</f>
        <v>0</v>
      </c>
      <c r="P49" s="874">
        <f>P46-'A4-FinPerf RE'!K48</f>
        <v>0</v>
      </c>
      <c r="Q49" s="874">
        <f>Q46-'A4-FinPerf RE'!L48</f>
        <v>0</v>
      </c>
    </row>
  </sheetData>
  <sheetProtection sheet="1" objects="1" scenarios="1"/>
  <customSheetViews>
    <customSheetView guid="{F50C5479-5CC4-4FD7-8319-543D29E829F0}" showGridLines="0" fitToPage="1">
      <pane xSplit="2" ySplit="3" topLeftCell="C4" activePane="bottomRight" state="frozen"/>
      <selection pane="bottomRight" activeCell="F35" sqref="F35"/>
      <pageMargins left="0.36" right="0" top="0.78740157480314965" bottom="0.59055118110236227" header="0.51181102362204722" footer="0.39370078740157483"/>
      <printOptions horizontalCentered="1"/>
      <pageSetup paperSize="9" scale="87" orientation="landscape" r:id="rId1"/>
      <headerFooter alignWithMargins="0"/>
    </customSheetView>
  </customSheetViews>
  <mergeCells count="2">
    <mergeCell ref="C2:N2"/>
    <mergeCell ref="O2:Q2"/>
  </mergeCells>
  <phoneticPr fontId="2" type="noConversion"/>
  <printOptions horizontalCentered="1"/>
  <pageMargins left="0.36" right="0" top="0.78740157480314965" bottom="0.59055118110236227" header="0.51181102362204722" footer="0.39370078740157483"/>
  <pageSetup paperSize="9" scale="87" orientation="landscape"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42"/>
    <pageSetUpPr fitToPage="1"/>
  </sheetPr>
  <dimension ref="A1:R48"/>
  <sheetViews>
    <sheetView showGridLines="0" zoomScaleNormal="100" workbookViewId="0">
      <pane xSplit="2" ySplit="3" topLeftCell="C22" activePane="bottomRight" state="frozen"/>
      <selection activeCell="F35" sqref="F35"/>
      <selection pane="topRight" activeCell="F35" sqref="F35"/>
      <selection pane="bottomLeft" activeCell="F35" sqref="F35"/>
      <selection pane="bottomRight" activeCell="C8" sqref="C8:M8"/>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tr">
        <f>muni&amp;" - "&amp;TableA26</f>
        <v>MP315 Thembisile Hani - Supporting Table SA26 Budgeted monthly revenue and expenditure (municipal vote)</v>
      </c>
      <c r="B1" s="147"/>
      <c r="C1" s="147"/>
      <c r="D1" s="147"/>
      <c r="E1" s="147"/>
      <c r="F1" s="147"/>
      <c r="G1" s="147"/>
      <c r="H1" s="147"/>
      <c r="I1" s="147"/>
      <c r="J1" s="147"/>
      <c r="K1" s="147"/>
      <c r="L1" s="147"/>
      <c r="M1" s="147"/>
      <c r="N1" s="147"/>
      <c r="O1" s="147"/>
      <c r="P1" s="147"/>
      <c r="Q1" s="147"/>
    </row>
    <row r="2" spans="1:18" ht="28.5" customHeight="1" x14ac:dyDescent="0.25">
      <c r="A2" s="980" t="str">
        <f>desc</f>
        <v>Description</v>
      </c>
      <c r="B2" s="992" t="str">
        <f>head27</f>
        <v>Ref</v>
      </c>
      <c r="C2" s="2766" t="str">
        <f>Head9</f>
        <v>Budget Year 2015/16</v>
      </c>
      <c r="D2" s="2767"/>
      <c r="E2" s="2767"/>
      <c r="F2" s="2767"/>
      <c r="G2" s="2767"/>
      <c r="H2" s="2767"/>
      <c r="I2" s="2767"/>
      <c r="J2" s="2767"/>
      <c r="K2" s="2767"/>
      <c r="L2" s="2767"/>
      <c r="M2" s="2767"/>
      <c r="N2" s="2767"/>
      <c r="O2" s="2763" t="s">
        <v>1785</v>
      </c>
      <c r="P2" s="2764"/>
      <c r="Q2" s="2765"/>
    </row>
    <row r="3" spans="1:18" ht="25.5" x14ac:dyDescent="0.25">
      <c r="A3" s="987" t="s">
        <v>662</v>
      </c>
      <c r="B3" s="993"/>
      <c r="C3" s="299" t="s">
        <v>720</v>
      </c>
      <c r="D3" s="923" t="s">
        <v>1398</v>
      </c>
      <c r="E3" s="923" t="s">
        <v>1399</v>
      </c>
      <c r="F3" s="923" t="s">
        <v>1400</v>
      </c>
      <c r="G3" s="923" t="s">
        <v>701</v>
      </c>
      <c r="H3" s="923" t="s">
        <v>702</v>
      </c>
      <c r="I3" s="923" t="s">
        <v>703</v>
      </c>
      <c r="J3" s="923" t="s">
        <v>704</v>
      </c>
      <c r="K3" s="923" t="s">
        <v>705</v>
      </c>
      <c r="L3" s="923" t="s">
        <v>706</v>
      </c>
      <c r="M3" s="923" t="s">
        <v>707</v>
      </c>
      <c r="N3" s="390" t="s">
        <v>708</v>
      </c>
      <c r="O3" s="299" t="str">
        <f>Head9</f>
        <v>Budget Year 2015/16</v>
      </c>
      <c r="P3" s="389" t="str">
        <f>Head10</f>
        <v>Budget Year +1 2016/17</v>
      </c>
      <c r="Q3" s="390" t="str">
        <f>Head11</f>
        <v>Budget Year +2 2017/18</v>
      </c>
    </row>
    <row r="4" spans="1:18" x14ac:dyDescent="0.25">
      <c r="A4" s="249" t="str">
        <f>'A3-FinPerf V'!A4</f>
        <v>Revenue by Vote</v>
      </c>
      <c r="B4" s="862"/>
      <c r="C4" s="317"/>
      <c r="D4" s="315"/>
      <c r="E4" s="315"/>
      <c r="F4" s="315"/>
      <c r="G4" s="315"/>
      <c r="H4" s="315"/>
      <c r="I4" s="315"/>
      <c r="J4" s="315"/>
      <c r="K4" s="315"/>
      <c r="L4" s="315"/>
      <c r="M4" s="315"/>
      <c r="N4" s="988"/>
      <c r="O4" s="405"/>
      <c r="P4" s="315"/>
      <c r="Q4" s="318"/>
    </row>
    <row r="5" spans="1:18" ht="11.25" customHeight="1" x14ac:dyDescent="0.25">
      <c r="A5" s="1169" t="str">
        <f>'A3-FinPerf V'!A5</f>
        <v>Vote 1 - 100 COUNCIL &amp; GENERAL</v>
      </c>
      <c r="B5" s="859"/>
      <c r="C5" s="1629">
        <v>0</v>
      </c>
      <c r="D5" s="1606">
        <v>0</v>
      </c>
      <c r="E5" s="1606">
        <v>0</v>
      </c>
      <c r="F5" s="1606">
        <v>0</v>
      </c>
      <c r="G5" s="1606">
        <v>0</v>
      </c>
      <c r="H5" s="1606">
        <v>0</v>
      </c>
      <c r="I5" s="1606">
        <v>0</v>
      </c>
      <c r="J5" s="1606">
        <v>0</v>
      </c>
      <c r="K5" s="1606">
        <v>0</v>
      </c>
      <c r="L5" s="1606">
        <v>0</v>
      </c>
      <c r="M5" s="1606">
        <v>0</v>
      </c>
      <c r="N5" s="803">
        <f t="shared" ref="N5:N10" si="0">O5-SUM(C5:M5)</f>
        <v>0</v>
      </c>
      <c r="O5" s="206">
        <f>'A3-FinPerf V'!I5</f>
        <v>0</v>
      </c>
      <c r="P5" s="203">
        <f>'A3-FinPerf V'!J5</f>
        <v>0</v>
      </c>
      <c r="Q5" s="204">
        <f>'A3-FinPerf V'!K5</f>
        <v>0</v>
      </c>
    </row>
    <row r="6" spans="1:18" ht="11.25" customHeight="1" x14ac:dyDescent="0.25">
      <c r="A6" s="1169" t="str">
        <f>'A3-FinPerf V'!A6</f>
        <v>Vote 2 - 102 MUNICIPAL MANAGER</v>
      </c>
      <c r="B6" s="859"/>
      <c r="C6" s="1629">
        <v>0</v>
      </c>
      <c r="D6" s="1606">
        <v>0</v>
      </c>
      <c r="E6" s="1606">
        <v>0</v>
      </c>
      <c r="F6" s="1606">
        <v>0</v>
      </c>
      <c r="G6" s="1606">
        <v>0</v>
      </c>
      <c r="H6" s="1606">
        <v>0</v>
      </c>
      <c r="I6" s="1606">
        <v>0</v>
      </c>
      <c r="J6" s="1606">
        <v>0</v>
      </c>
      <c r="K6" s="1606">
        <v>0</v>
      </c>
      <c r="L6" s="1606">
        <v>0</v>
      </c>
      <c r="M6" s="1606">
        <v>0</v>
      </c>
      <c r="N6" s="803">
        <f t="shared" si="0"/>
        <v>0</v>
      </c>
      <c r="O6" s="206">
        <f>'A3-FinPerf V'!I6</f>
        <v>0</v>
      </c>
      <c r="P6" s="207">
        <f>'A3-FinPerf V'!J6</f>
        <v>0</v>
      </c>
      <c r="Q6" s="264">
        <f>'A3-FinPerf V'!K6</f>
        <v>0</v>
      </c>
    </row>
    <row r="7" spans="1:18" ht="11.25" customHeight="1" x14ac:dyDescent="0.25">
      <c r="A7" s="1169" t="str">
        <f>'A3-FinPerf V'!A7</f>
        <v>Vote 3 - 103 PLANNING and DEVELOPMENT</v>
      </c>
      <c r="B7" s="859"/>
      <c r="C7" s="1629">
        <v>0</v>
      </c>
      <c r="D7" s="1606">
        <v>0</v>
      </c>
      <c r="E7" s="1606">
        <v>0</v>
      </c>
      <c r="F7" s="1606">
        <v>0</v>
      </c>
      <c r="G7" s="1606">
        <v>0</v>
      </c>
      <c r="H7" s="1606">
        <v>0</v>
      </c>
      <c r="I7" s="1606">
        <v>0</v>
      </c>
      <c r="J7" s="1606">
        <v>0</v>
      </c>
      <c r="K7" s="1606">
        <v>0</v>
      </c>
      <c r="L7" s="1606">
        <v>0</v>
      </c>
      <c r="M7" s="1606">
        <v>0</v>
      </c>
      <c r="N7" s="803">
        <f t="shared" si="0"/>
        <v>0</v>
      </c>
      <c r="O7" s="206">
        <f>'A3-FinPerf V'!I7</f>
        <v>0</v>
      </c>
      <c r="P7" s="207">
        <f>'A3-FinPerf V'!J7</f>
        <v>0</v>
      </c>
      <c r="Q7" s="264">
        <f>'A3-FinPerf V'!K7</f>
        <v>0</v>
      </c>
    </row>
    <row r="8" spans="1:18" ht="11.25" customHeight="1" x14ac:dyDescent="0.25">
      <c r="A8" s="1169" t="str">
        <f>'A3-FinPerf V'!A8</f>
        <v>Vote 4 - 104 FINANCE</v>
      </c>
      <c r="B8" s="859"/>
      <c r="C8" s="1629">
        <v>31812102.794166666</v>
      </c>
      <c r="D8" s="1606">
        <v>31812102.794166666</v>
      </c>
      <c r="E8" s="1606">
        <v>31812102.794166666</v>
      </c>
      <c r="F8" s="1606">
        <v>31812102.794166666</v>
      </c>
      <c r="G8" s="1606">
        <v>31812102.794166666</v>
      </c>
      <c r="H8" s="1606">
        <v>31812102.794166666</v>
      </c>
      <c r="I8" s="1606">
        <v>31812102.794166666</v>
      </c>
      <c r="J8" s="1606">
        <v>31812102.794166666</v>
      </c>
      <c r="K8" s="1606">
        <v>31812102.794166666</v>
      </c>
      <c r="L8" s="1606">
        <v>31812102.794166666</v>
      </c>
      <c r="M8" s="1606">
        <v>31812102.794166666</v>
      </c>
      <c r="N8" s="803">
        <f t="shared" si="0"/>
        <v>31812102.794166625</v>
      </c>
      <c r="O8" s="206">
        <f>'A3-FinPerf V'!I8</f>
        <v>381745233.52999997</v>
      </c>
      <c r="P8" s="207">
        <f>'A3-FinPerf V'!J8</f>
        <v>404268202.30826998</v>
      </c>
      <c r="Q8" s="264">
        <f>'A3-FinPerf V'!K8</f>
        <v>426907221.63753319</v>
      </c>
    </row>
    <row r="9" spans="1:18" ht="11.25" customHeight="1" x14ac:dyDescent="0.25">
      <c r="A9" s="1169" t="str">
        <f>'A3-FinPerf V'!A9</f>
        <v>Vote 5 - 105 TECHNICAL SERVICES</v>
      </c>
      <c r="B9" s="859"/>
      <c r="C9" s="1629">
        <v>9941420.2483333331</v>
      </c>
      <c r="D9" s="1606">
        <v>9941420.2483333331</v>
      </c>
      <c r="E9" s="1606">
        <v>9941420.2483333331</v>
      </c>
      <c r="F9" s="1606">
        <v>9941420.2483333331</v>
      </c>
      <c r="G9" s="1606">
        <v>9941420.2483333331</v>
      </c>
      <c r="H9" s="1606">
        <v>9941420.2483333331</v>
      </c>
      <c r="I9" s="1606">
        <v>9941420.2483333331</v>
      </c>
      <c r="J9" s="1606">
        <v>9941420.2483333331</v>
      </c>
      <c r="K9" s="1606">
        <v>9941420.2483333331</v>
      </c>
      <c r="L9" s="1606">
        <v>9941420.2483333331</v>
      </c>
      <c r="M9" s="1606">
        <v>9941420.2483333331</v>
      </c>
      <c r="N9" s="803">
        <f t="shared" si="0"/>
        <v>9941420.2483333349</v>
      </c>
      <c r="O9" s="206">
        <f>'A3-FinPerf V'!I9</f>
        <v>119297042.98</v>
      </c>
      <c r="P9" s="207">
        <f>'A3-FinPerf V'!J9</f>
        <v>126335568.51582</v>
      </c>
      <c r="Q9" s="264">
        <f>'A3-FinPerf V'!K9</f>
        <v>133410360.35270593</v>
      </c>
    </row>
    <row r="10" spans="1:18" ht="11.25" customHeight="1" x14ac:dyDescent="0.25">
      <c r="A10" s="1169" t="str">
        <f>'A3-FinPerf V'!A10</f>
        <v>Vote 6 - 500 PMU</v>
      </c>
      <c r="B10" s="859"/>
      <c r="C10" s="1629">
        <v>0</v>
      </c>
      <c r="D10" s="1606">
        <v>0</v>
      </c>
      <c r="E10" s="1606">
        <v>0</v>
      </c>
      <c r="F10" s="1606">
        <v>0</v>
      </c>
      <c r="G10" s="1606">
        <v>0</v>
      </c>
      <c r="H10" s="1606">
        <v>0</v>
      </c>
      <c r="I10" s="1606">
        <v>0</v>
      </c>
      <c r="J10" s="1606">
        <v>0</v>
      </c>
      <c r="K10" s="1606">
        <v>0</v>
      </c>
      <c r="L10" s="1606">
        <v>0</v>
      </c>
      <c r="M10" s="1606">
        <v>0</v>
      </c>
      <c r="N10" s="803">
        <f t="shared" si="0"/>
        <v>0</v>
      </c>
      <c r="O10" s="206">
        <f>'A3-FinPerf V'!I10</f>
        <v>0</v>
      </c>
      <c r="P10" s="207">
        <f>'A3-FinPerf V'!J10</f>
        <v>0</v>
      </c>
      <c r="Q10" s="264">
        <f>'A3-FinPerf V'!K10</f>
        <v>0</v>
      </c>
    </row>
    <row r="11" spans="1:18" ht="11.25" customHeight="1" x14ac:dyDescent="0.25">
      <c r="A11" s="1169" t="str">
        <f>'A3-FinPerf V'!A11</f>
        <v>Vote 7 - 520 WASTE MANAGEMENT</v>
      </c>
      <c r="B11" s="859"/>
      <c r="C11" s="1629">
        <v>1570137.0808333333</v>
      </c>
      <c r="D11" s="1606">
        <v>1570137.0808333333</v>
      </c>
      <c r="E11" s="1606">
        <v>1570137.0808333333</v>
      </c>
      <c r="F11" s="1606">
        <v>1570137.0808333333</v>
      </c>
      <c r="G11" s="1606">
        <v>1570137.0808333333</v>
      </c>
      <c r="H11" s="1606">
        <v>1570137.0808333333</v>
      </c>
      <c r="I11" s="1606">
        <v>1570137.0808333333</v>
      </c>
      <c r="J11" s="1606">
        <v>1570137.0808333333</v>
      </c>
      <c r="K11" s="1606">
        <v>1570137.0808333333</v>
      </c>
      <c r="L11" s="1606">
        <v>1570137.0808333333</v>
      </c>
      <c r="M11" s="1606">
        <v>1570137.0808333333</v>
      </c>
      <c r="N11" s="803">
        <f>O11-SUM(C11:M11)</f>
        <v>1570137.0808333345</v>
      </c>
      <c r="O11" s="206">
        <f>'A3-FinPerf V'!I11</f>
        <v>18841644.969999999</v>
      </c>
      <c r="P11" s="207">
        <f>'A3-FinPerf V'!J11</f>
        <v>19953302.023230001</v>
      </c>
      <c r="Q11" s="264">
        <f>'A3-FinPerf V'!K11</f>
        <v>21070686.936530884</v>
      </c>
    </row>
    <row r="12" spans="1:18" ht="11.25" customHeight="1" x14ac:dyDescent="0.25">
      <c r="A12" s="1169" t="str">
        <f>'A3-FinPerf V'!A12</f>
        <v>Vote 8 - 530 ELECTRICITY SERVICES</v>
      </c>
      <c r="B12" s="859"/>
      <c r="C12" s="1629">
        <v>91666.666666666672</v>
      </c>
      <c r="D12" s="1606">
        <v>91666.666666666672</v>
      </c>
      <c r="E12" s="1606">
        <v>91666.666666666672</v>
      </c>
      <c r="F12" s="1606">
        <v>91666.666666666672</v>
      </c>
      <c r="G12" s="1606">
        <v>91666.666666666672</v>
      </c>
      <c r="H12" s="1606">
        <v>91666.666666666672</v>
      </c>
      <c r="I12" s="1606">
        <v>91666.666666666672</v>
      </c>
      <c r="J12" s="1606">
        <v>91666.666666666672</v>
      </c>
      <c r="K12" s="1606">
        <v>91666.666666666672</v>
      </c>
      <c r="L12" s="1606">
        <v>91666.666666666672</v>
      </c>
      <c r="M12" s="1606">
        <v>91666.666666666672</v>
      </c>
      <c r="N12" s="803">
        <f>O12-SUM(C12:M12)</f>
        <v>91666.666666666861</v>
      </c>
      <c r="O12" s="206">
        <f>'A3-FinPerf V'!I12</f>
        <v>1100000</v>
      </c>
      <c r="P12" s="207">
        <f>'A3-FinPerf V'!J12</f>
        <v>1164900</v>
      </c>
      <c r="Q12" s="264">
        <f>'A3-FinPerf V'!K12</f>
        <v>1230134.4000000001</v>
      </c>
    </row>
    <row r="13" spans="1:18" ht="11.25" customHeight="1" x14ac:dyDescent="0.25">
      <c r="A13" s="1169" t="str">
        <f>'A3-FinPerf V'!A13</f>
        <v>Vote 9 - 540 WATER SERVICES</v>
      </c>
      <c r="B13" s="859"/>
      <c r="C13" s="1629">
        <v>4757448.0991666662</v>
      </c>
      <c r="D13" s="1606">
        <v>4757448.0991666662</v>
      </c>
      <c r="E13" s="1606">
        <v>4757448.0991666662</v>
      </c>
      <c r="F13" s="1606">
        <v>4757448.0991666662</v>
      </c>
      <c r="G13" s="1606">
        <v>4757448.0991666662</v>
      </c>
      <c r="H13" s="1606">
        <v>4757448.0991666662</v>
      </c>
      <c r="I13" s="1606">
        <v>4757448.0991666662</v>
      </c>
      <c r="J13" s="1606">
        <v>4757448.0991666662</v>
      </c>
      <c r="K13" s="1606">
        <v>4757448.0991666662</v>
      </c>
      <c r="L13" s="1606">
        <v>4757448.0991666662</v>
      </c>
      <c r="M13" s="1606">
        <v>4757448.0991666662</v>
      </c>
      <c r="N13" s="803">
        <f>O13-SUM(C13:M13)</f>
        <v>4757448.3791666627</v>
      </c>
      <c r="O13" s="206">
        <f>'A3-FinPerf V'!I13</f>
        <v>57089377.469999999</v>
      </c>
      <c r="P13" s="207">
        <f>'A3-FinPerf V'!J13</f>
        <v>60457650.740730003</v>
      </c>
      <c r="Q13" s="264">
        <f>'A3-FinPerf V'!K13</f>
        <v>63843279.182210885</v>
      </c>
      <c r="R13" s="369"/>
    </row>
    <row r="14" spans="1:18" ht="11.25" customHeight="1" x14ac:dyDescent="0.25">
      <c r="A14" s="1169" t="str">
        <f>'A3-FinPerf V'!A14</f>
        <v>Vote 10 - 550 ROADS &amp; STORMWATER</v>
      </c>
      <c r="B14" s="859"/>
      <c r="C14" s="1629">
        <v>0</v>
      </c>
      <c r="D14" s="1606">
        <v>0</v>
      </c>
      <c r="E14" s="1606">
        <v>0</v>
      </c>
      <c r="F14" s="1606">
        <v>0</v>
      </c>
      <c r="G14" s="1606">
        <v>0</v>
      </c>
      <c r="H14" s="1606">
        <v>0</v>
      </c>
      <c r="I14" s="1606">
        <v>0</v>
      </c>
      <c r="J14" s="1606">
        <v>0</v>
      </c>
      <c r="K14" s="1606">
        <v>0</v>
      </c>
      <c r="L14" s="1606">
        <v>0</v>
      </c>
      <c r="M14" s="1606">
        <v>0</v>
      </c>
      <c r="N14" s="803">
        <f t="shared" ref="N14:N19" si="1">O14-SUM(C14:M14)</f>
        <v>0</v>
      </c>
      <c r="O14" s="206">
        <f>'A3-FinPerf V'!I14</f>
        <v>0</v>
      </c>
      <c r="P14" s="207">
        <f>'A3-FinPerf V'!J14</f>
        <v>0</v>
      </c>
      <c r="Q14" s="264">
        <f>'A3-FinPerf V'!K14</f>
        <v>0</v>
      </c>
      <c r="R14" s="369"/>
    </row>
    <row r="15" spans="1:18" ht="11.25" customHeight="1" x14ac:dyDescent="0.25">
      <c r="A15" s="1169" t="str">
        <f>'A3-FinPerf V'!A15</f>
        <v>Vote 11 - 560 SANITATION SERVICES</v>
      </c>
      <c r="B15" s="859"/>
      <c r="C15" s="1629">
        <v>170351.965</v>
      </c>
      <c r="D15" s="1606">
        <v>170351.965</v>
      </c>
      <c r="E15" s="1606">
        <v>170351.965</v>
      </c>
      <c r="F15" s="1606">
        <v>170351.965</v>
      </c>
      <c r="G15" s="1606">
        <v>170351.965</v>
      </c>
      <c r="H15" s="1606">
        <v>170351.965</v>
      </c>
      <c r="I15" s="1606">
        <v>170351.965</v>
      </c>
      <c r="J15" s="1606">
        <v>170351.965</v>
      </c>
      <c r="K15" s="1606">
        <v>170351.965</v>
      </c>
      <c r="L15" s="1606">
        <v>170351.965</v>
      </c>
      <c r="M15" s="1606">
        <v>170351.965</v>
      </c>
      <c r="N15" s="803">
        <f t="shared" si="1"/>
        <v>170351.96500000008</v>
      </c>
      <c r="O15" s="206">
        <f>'A3-FinPerf V'!I15</f>
        <v>2044223.5800000003</v>
      </c>
      <c r="P15" s="207">
        <f>'A3-FinPerf V'!J15</f>
        <v>2164832.77122</v>
      </c>
      <c r="Q15" s="264">
        <f>'A3-FinPerf V'!K15</f>
        <v>2286063.4064083202</v>
      </c>
      <c r="R15" s="369"/>
    </row>
    <row r="16" spans="1:18" ht="11.25" customHeight="1" x14ac:dyDescent="0.25">
      <c r="A16" s="1169" t="str">
        <f>'A3-FinPerf V'!A16</f>
        <v>Vote 12 - 106 CORPORATE SERVICES</v>
      </c>
      <c r="B16" s="859"/>
      <c r="C16" s="1629">
        <v>0</v>
      </c>
      <c r="D16" s="1606">
        <v>0</v>
      </c>
      <c r="E16" s="1606">
        <v>0</v>
      </c>
      <c r="F16" s="1606">
        <v>0</v>
      </c>
      <c r="G16" s="1606">
        <v>0</v>
      </c>
      <c r="H16" s="1606">
        <v>0</v>
      </c>
      <c r="I16" s="1606">
        <v>0</v>
      </c>
      <c r="J16" s="1606">
        <v>0</v>
      </c>
      <c r="K16" s="1606">
        <v>0</v>
      </c>
      <c r="L16" s="1606">
        <v>0</v>
      </c>
      <c r="M16" s="1606">
        <v>0</v>
      </c>
      <c r="N16" s="803">
        <f t="shared" si="1"/>
        <v>0</v>
      </c>
      <c r="O16" s="206">
        <f>'A3-FinPerf V'!I16</f>
        <v>0</v>
      </c>
      <c r="P16" s="207">
        <f>'A3-FinPerf V'!J16</f>
        <v>0</v>
      </c>
      <c r="Q16" s="264">
        <f>'A3-FinPerf V'!K16</f>
        <v>0</v>
      </c>
      <c r="R16" s="369"/>
    </row>
    <row r="17" spans="1:18" ht="11.25" customHeight="1" x14ac:dyDescent="0.25">
      <c r="A17" s="1169" t="str">
        <f>'A3-FinPerf V'!A17</f>
        <v>Vote 13 - 107 COMMUNITY SERVICES</v>
      </c>
      <c r="B17" s="859"/>
      <c r="C17" s="1629">
        <v>1767933.155</v>
      </c>
      <c r="D17" s="1606">
        <v>1767933.155</v>
      </c>
      <c r="E17" s="1606">
        <v>1767933.155</v>
      </c>
      <c r="F17" s="1606">
        <v>1767933.155</v>
      </c>
      <c r="G17" s="1606">
        <v>1767933.155</v>
      </c>
      <c r="H17" s="1606">
        <v>1767933.155</v>
      </c>
      <c r="I17" s="1606">
        <v>1767933.155</v>
      </c>
      <c r="J17" s="1606">
        <v>1767933.155</v>
      </c>
      <c r="K17" s="1606">
        <v>1767933.155</v>
      </c>
      <c r="L17" s="1606">
        <v>1767933.155</v>
      </c>
      <c r="M17" s="1606">
        <v>1767933.155</v>
      </c>
      <c r="N17" s="803">
        <f t="shared" si="1"/>
        <v>1767933.1550000049</v>
      </c>
      <c r="O17" s="206">
        <f>'A3-FinPerf V'!I17</f>
        <v>21215197.860000003</v>
      </c>
      <c r="P17" s="207">
        <f>'A3-FinPerf V'!J17</f>
        <v>22466894.533739995</v>
      </c>
      <c r="Q17" s="264">
        <f>'A3-FinPerf V'!K17</f>
        <v>23725040.627629437</v>
      </c>
      <c r="R17" s="369"/>
    </row>
    <row r="18" spans="1:18" ht="11.25" customHeight="1" x14ac:dyDescent="0.25">
      <c r="A18" s="1169" t="str">
        <f>'A3-FinPerf V'!A18</f>
        <v>Vote 14 - 108 PUBLIC SAFETY &amp; ROADS</v>
      </c>
      <c r="B18" s="859"/>
      <c r="C18" s="1629">
        <v>636366.66666666663</v>
      </c>
      <c r="D18" s="1606">
        <v>636366.66666666663</v>
      </c>
      <c r="E18" s="1606">
        <v>636366.66666666663</v>
      </c>
      <c r="F18" s="1606">
        <v>636366.66666666663</v>
      </c>
      <c r="G18" s="1606">
        <v>636366.66666666663</v>
      </c>
      <c r="H18" s="1606">
        <v>636366.66666666663</v>
      </c>
      <c r="I18" s="1606">
        <v>636366.66666666663</v>
      </c>
      <c r="J18" s="1606">
        <v>636366.66666666663</v>
      </c>
      <c r="K18" s="1606">
        <v>636366.66666666663</v>
      </c>
      <c r="L18" s="1606">
        <v>636366.66666666663</v>
      </c>
      <c r="M18" s="1606">
        <v>636366.66666666663</v>
      </c>
      <c r="N18" s="803">
        <f t="shared" si="1"/>
        <v>636366.66666666605</v>
      </c>
      <c r="O18" s="206">
        <f>'A3-FinPerf V'!I18</f>
        <v>7636400</v>
      </c>
      <c r="P18" s="207">
        <f>'A3-FinPerf V'!J18</f>
        <v>8086947.5999999996</v>
      </c>
      <c r="Q18" s="264">
        <f>'A3-FinPerf V'!K18</f>
        <v>8539816.6655999999</v>
      </c>
      <c r="R18" s="369"/>
    </row>
    <row r="19" spans="1:18" ht="11.25" customHeight="1" x14ac:dyDescent="0.25">
      <c r="A19" s="1169" t="str">
        <f>'A3-FinPerf V'!A19</f>
        <v>Vote 15 - 300 SPORTS,RECREATION ARTS,CULTURE AND PROPERTY SERVICES</v>
      </c>
      <c r="B19" s="859"/>
      <c r="C19" s="1629">
        <v>8913.0333333333328</v>
      </c>
      <c r="D19" s="1606">
        <v>8913.0333333333328</v>
      </c>
      <c r="E19" s="1606">
        <v>8913.0333333333328</v>
      </c>
      <c r="F19" s="1606">
        <v>8913.0333333333328</v>
      </c>
      <c r="G19" s="1606">
        <v>8913.0333333333328</v>
      </c>
      <c r="H19" s="1606">
        <v>8913.0333333333328</v>
      </c>
      <c r="I19" s="1606">
        <v>8913.0333333333328</v>
      </c>
      <c r="J19" s="1606">
        <v>8913.0333333333328</v>
      </c>
      <c r="K19" s="1606">
        <v>8913.0333333333328</v>
      </c>
      <c r="L19" s="1606">
        <v>8913.0333333333328</v>
      </c>
      <c r="M19" s="1606">
        <v>8913.0333333333328</v>
      </c>
      <c r="N19" s="803">
        <f t="shared" si="1"/>
        <v>8913.0333333333547</v>
      </c>
      <c r="O19" s="206">
        <f>'A3-FinPerf V'!I19</f>
        <v>106956.4</v>
      </c>
      <c r="P19" s="207">
        <f>'A3-FinPerf V'!J19</f>
        <v>113266.82759999999</v>
      </c>
      <c r="Q19" s="264">
        <f>'A3-FinPerf V'!K19</f>
        <v>119609.76994559998</v>
      </c>
      <c r="R19" s="369"/>
    </row>
    <row r="20" spans="1:18" x14ac:dyDescent="0.25">
      <c r="A20" s="265" t="str">
        <f>'A3-FinPerf V'!A20</f>
        <v>Total Revenue by Vote</v>
      </c>
      <c r="B20" s="860"/>
      <c r="C20" s="215">
        <f t="shared" ref="C20:Q20" si="2">SUM(C5:C19)</f>
        <v>50756339.709166661</v>
      </c>
      <c r="D20" s="213">
        <f t="shared" si="2"/>
        <v>50756339.709166661</v>
      </c>
      <c r="E20" s="213">
        <f t="shared" si="2"/>
        <v>50756339.709166661</v>
      </c>
      <c r="F20" s="213">
        <f>SUM(F5:F19)</f>
        <v>50756339.709166661</v>
      </c>
      <c r="G20" s="213">
        <f t="shared" si="2"/>
        <v>50756339.709166661</v>
      </c>
      <c r="H20" s="213">
        <f t="shared" si="2"/>
        <v>50756339.709166661</v>
      </c>
      <c r="I20" s="213">
        <f t="shared" si="2"/>
        <v>50756339.709166661</v>
      </c>
      <c r="J20" s="213">
        <f t="shared" si="2"/>
        <v>50756339.709166661</v>
      </c>
      <c r="K20" s="213">
        <f t="shared" si="2"/>
        <v>50756339.709166661</v>
      </c>
      <c r="L20" s="213">
        <f t="shared" si="2"/>
        <v>50756339.709166661</v>
      </c>
      <c r="M20" s="213">
        <f t="shared" si="2"/>
        <v>50756339.709166661</v>
      </c>
      <c r="N20" s="861">
        <f t="shared" si="2"/>
        <v>50756339.989166625</v>
      </c>
      <c r="O20" s="216">
        <f t="shared" si="2"/>
        <v>609076076.79000008</v>
      </c>
      <c r="P20" s="213">
        <f t="shared" si="2"/>
        <v>645011565.32061005</v>
      </c>
      <c r="Q20" s="214">
        <f t="shared" si="2"/>
        <v>681132212.97856414</v>
      </c>
      <c r="R20" s="369"/>
    </row>
    <row r="21" spans="1:18" ht="5.0999999999999996" customHeight="1" x14ac:dyDescent="0.25">
      <c r="A21" s="273"/>
      <c r="B21" s="859"/>
      <c r="C21" s="205"/>
      <c r="D21" s="203"/>
      <c r="E21" s="203"/>
      <c r="F21" s="203"/>
      <c r="G21" s="203"/>
      <c r="H21" s="203"/>
      <c r="I21" s="203"/>
      <c r="J21" s="203"/>
      <c r="K21" s="203"/>
      <c r="L21" s="203"/>
      <c r="M21" s="203"/>
      <c r="N21" s="803"/>
      <c r="O21" s="206"/>
      <c r="P21" s="203"/>
      <c r="Q21" s="204"/>
      <c r="R21" s="369"/>
    </row>
    <row r="22" spans="1:18" x14ac:dyDescent="0.25">
      <c r="A22" s="249" t="str">
        <f>'A3-FinPerf V'!A22</f>
        <v>Expenditure by Vote to be appropriated</v>
      </c>
      <c r="B22" s="862"/>
      <c r="C22" s="205"/>
      <c r="D22" s="203"/>
      <c r="E22" s="203"/>
      <c r="F22" s="203"/>
      <c r="G22" s="203"/>
      <c r="H22" s="203"/>
      <c r="I22" s="203"/>
      <c r="J22" s="203"/>
      <c r="K22" s="203"/>
      <c r="L22" s="203"/>
      <c r="M22" s="203"/>
      <c r="N22" s="803"/>
      <c r="O22" s="206"/>
      <c r="P22" s="203"/>
      <c r="Q22" s="204"/>
      <c r="R22" s="369"/>
    </row>
    <row r="23" spans="1:18" ht="11.25" customHeight="1" x14ac:dyDescent="0.25">
      <c r="A23" s="250" t="str">
        <f t="shared" ref="A23:A31" si="3">A5</f>
        <v>Vote 1 - 100 COUNCIL &amp; GENERAL</v>
      </c>
      <c r="B23" s="859"/>
      <c r="C23" s="1629">
        <v>20347627.960000001</v>
      </c>
      <c r="D23" s="1606">
        <v>20347627.960000001</v>
      </c>
      <c r="E23" s="1606">
        <v>20347627.960000001</v>
      </c>
      <c r="F23" s="1606">
        <v>20347627.960000001</v>
      </c>
      <c r="G23" s="1606">
        <v>20347627.960000001</v>
      </c>
      <c r="H23" s="1606">
        <v>20347627.960000001</v>
      </c>
      <c r="I23" s="1606">
        <v>20347627.960000001</v>
      </c>
      <c r="J23" s="1606">
        <v>20347627.960000001</v>
      </c>
      <c r="K23" s="1606">
        <v>20347627.960000001</v>
      </c>
      <c r="L23" s="1606">
        <v>20347627.960000001</v>
      </c>
      <c r="M23" s="1606">
        <v>20347627.960000001</v>
      </c>
      <c r="N23" s="803">
        <f t="shared" ref="N23:N29" si="4">O23-SUM(C23:M23)</f>
        <v>20347627.959999919</v>
      </c>
      <c r="O23" s="206">
        <f>'A3-FinPerf V'!I23</f>
        <v>244171535.51999998</v>
      </c>
      <c r="P23" s="203">
        <f>'A3-FinPerf V'!J23</f>
        <v>258577656.11567998</v>
      </c>
      <c r="Q23" s="204">
        <f>'A3-FinPerf V'!K23</f>
        <v>273058004.85815805</v>
      </c>
      <c r="R23" s="369"/>
    </row>
    <row r="24" spans="1:18" ht="11.25" customHeight="1" x14ac:dyDescent="0.25">
      <c r="A24" s="250" t="str">
        <f t="shared" si="3"/>
        <v>Vote 2 - 102 MUNICIPAL MANAGER</v>
      </c>
      <c r="B24" s="859"/>
      <c r="C24" s="1629">
        <v>1617415.1666666667</v>
      </c>
      <c r="D24" s="1606">
        <v>1617415.1666666667</v>
      </c>
      <c r="E24" s="1606">
        <v>1617415.1666666667</v>
      </c>
      <c r="F24" s="1606">
        <v>1617415.1666666667</v>
      </c>
      <c r="G24" s="1606">
        <v>1617415.1666666667</v>
      </c>
      <c r="H24" s="1606">
        <v>1617415.1666666667</v>
      </c>
      <c r="I24" s="1606">
        <v>1617415.1666666667</v>
      </c>
      <c r="J24" s="1606">
        <v>1617415.1666666667</v>
      </c>
      <c r="K24" s="1606">
        <v>1617415.1666666667</v>
      </c>
      <c r="L24" s="1606">
        <v>1617415.1666666667</v>
      </c>
      <c r="M24" s="1606">
        <v>1617415.1666666667</v>
      </c>
      <c r="N24" s="803">
        <f t="shared" si="4"/>
        <v>1617415.1666666679</v>
      </c>
      <c r="O24" s="206">
        <f>'A3-FinPerf V'!I24</f>
        <v>19408982</v>
      </c>
      <c r="P24" s="203">
        <f>'A3-FinPerf V'!J24</f>
        <v>20554111.938000001</v>
      </c>
      <c r="Q24" s="204">
        <f>'A3-FinPerf V'!K24</f>
        <v>21705142.206527997</v>
      </c>
      <c r="R24" s="369"/>
    </row>
    <row r="25" spans="1:18" ht="11.25" customHeight="1" x14ac:dyDescent="0.25">
      <c r="A25" s="250" t="str">
        <f t="shared" si="3"/>
        <v>Vote 3 - 103 PLANNING and DEVELOPMENT</v>
      </c>
      <c r="B25" s="859"/>
      <c r="C25" s="1629">
        <f>2382116/12</f>
        <v>198509.66666666666</v>
      </c>
      <c r="D25" s="1606">
        <v>198509.66666666666</v>
      </c>
      <c r="E25" s="1606">
        <v>198509.66666666666</v>
      </c>
      <c r="F25" s="1606">
        <v>198509.66666666666</v>
      </c>
      <c r="G25" s="1606">
        <v>198509.66666666666</v>
      </c>
      <c r="H25" s="1606">
        <v>198509.66666666666</v>
      </c>
      <c r="I25" s="1606">
        <v>198509.66666666666</v>
      </c>
      <c r="J25" s="1606">
        <v>198509.66666666666</v>
      </c>
      <c r="K25" s="1606">
        <v>198509.66666666666</v>
      </c>
      <c r="L25" s="1606">
        <v>198509.66666666666</v>
      </c>
      <c r="M25" s="1606">
        <v>198509.66666666666</v>
      </c>
      <c r="N25" s="803">
        <f t="shared" si="4"/>
        <v>198509.66666666651</v>
      </c>
      <c r="O25" s="206">
        <f>'A3-FinPerf V'!I25</f>
        <v>2382116</v>
      </c>
      <c r="P25" s="203">
        <f>'A3-FinPerf V'!J25</f>
        <v>2522660.8439999996</v>
      </c>
      <c r="Q25" s="204">
        <f>'A3-FinPerf V'!K25</f>
        <v>2663929.8512639999</v>
      </c>
      <c r="R25" s="369"/>
    </row>
    <row r="26" spans="1:18" ht="11.25" customHeight="1" x14ac:dyDescent="0.25">
      <c r="A26" s="250" t="str">
        <f t="shared" si="3"/>
        <v>Vote 4 - 104 FINANCE</v>
      </c>
      <c r="B26" s="859"/>
      <c r="C26" s="1629">
        <v>6075512.333333333</v>
      </c>
      <c r="D26" s="1606">
        <v>6075512.333333333</v>
      </c>
      <c r="E26" s="1606">
        <v>6075512.333333333</v>
      </c>
      <c r="F26" s="1606">
        <v>6075512.333333333</v>
      </c>
      <c r="G26" s="1606">
        <v>6075512.333333333</v>
      </c>
      <c r="H26" s="1606">
        <v>6075512.333333333</v>
      </c>
      <c r="I26" s="1606">
        <v>6075512.333333333</v>
      </c>
      <c r="J26" s="1606">
        <v>6075512.333333333</v>
      </c>
      <c r="K26" s="1606">
        <v>6075512.333333333</v>
      </c>
      <c r="L26" s="1606">
        <v>6075512.333333333</v>
      </c>
      <c r="M26" s="1606">
        <v>6075512.333333333</v>
      </c>
      <c r="N26" s="803">
        <f t="shared" si="4"/>
        <v>6075512.3333333209</v>
      </c>
      <c r="O26" s="206">
        <f>'A3-FinPerf V'!I26</f>
        <v>72906148</v>
      </c>
      <c r="P26" s="203">
        <f>'A3-FinPerf V'!J26</f>
        <v>77207610.731999993</v>
      </c>
      <c r="Q26" s="204">
        <f>'A3-FinPerf V'!K26</f>
        <v>81531236.932991996</v>
      </c>
      <c r="R26" s="369"/>
    </row>
    <row r="27" spans="1:18" ht="11.25" customHeight="1" x14ac:dyDescent="0.25">
      <c r="A27" s="250" t="str">
        <f t="shared" si="3"/>
        <v>Vote 5 - 105 TECHNICAL SERVICES</v>
      </c>
      <c r="B27" s="859"/>
      <c r="C27" s="1629">
        <v>157984.83333333334</v>
      </c>
      <c r="D27" s="1606">
        <v>157984.83333333334</v>
      </c>
      <c r="E27" s="1606">
        <v>157984.83333333334</v>
      </c>
      <c r="F27" s="1606">
        <v>157984.83333333334</v>
      </c>
      <c r="G27" s="1606">
        <v>157984.83333333334</v>
      </c>
      <c r="H27" s="1606">
        <v>157984.83333333334</v>
      </c>
      <c r="I27" s="1606">
        <v>157984.83333333334</v>
      </c>
      <c r="J27" s="1606">
        <v>157984.83333333334</v>
      </c>
      <c r="K27" s="1606">
        <v>157984.83333333334</v>
      </c>
      <c r="L27" s="1606">
        <v>157984.83333333334</v>
      </c>
      <c r="M27" s="1606">
        <v>157984.83333333334</v>
      </c>
      <c r="N27" s="803">
        <f t="shared" si="4"/>
        <v>157984.83333333349</v>
      </c>
      <c r="O27" s="206">
        <f>'A3-FinPerf V'!I27</f>
        <v>1895818</v>
      </c>
      <c r="P27" s="203">
        <f>'A3-FinPerf V'!J27</f>
        <v>2007671.2619999996</v>
      </c>
      <c r="Q27" s="204">
        <f>'A3-FinPerf V'!K27</f>
        <v>2120100.8526719999</v>
      </c>
      <c r="R27" s="369"/>
    </row>
    <row r="28" spans="1:18" ht="11.25" customHeight="1" x14ac:dyDescent="0.25">
      <c r="A28" s="250" t="str">
        <f t="shared" si="3"/>
        <v>Vote 6 - 500 PMU</v>
      </c>
      <c r="B28" s="859"/>
      <c r="C28" s="1629">
        <v>324997.08333333331</v>
      </c>
      <c r="D28" s="1606">
        <v>324997.08333333331</v>
      </c>
      <c r="E28" s="1606">
        <v>324997.08333333331</v>
      </c>
      <c r="F28" s="1606">
        <v>324997.08333333331</v>
      </c>
      <c r="G28" s="1606">
        <v>324997.08333333331</v>
      </c>
      <c r="H28" s="1606">
        <v>324997.08333333331</v>
      </c>
      <c r="I28" s="1606">
        <v>324997.08333333331</v>
      </c>
      <c r="J28" s="1606">
        <v>324997.08333333331</v>
      </c>
      <c r="K28" s="1606">
        <v>324997.08333333331</v>
      </c>
      <c r="L28" s="1606">
        <v>324997.08333333331</v>
      </c>
      <c r="M28" s="1606">
        <v>324997.08333333331</v>
      </c>
      <c r="N28" s="803">
        <f t="shared" si="4"/>
        <v>324997.08333333302</v>
      </c>
      <c r="O28" s="206">
        <f>'A3-FinPerf V'!I28</f>
        <v>3899965</v>
      </c>
      <c r="P28" s="203">
        <f>'A3-FinPerf V'!J28</f>
        <v>4130062.9350000005</v>
      </c>
      <c r="Q28" s="204">
        <f>'A3-FinPerf V'!K28</f>
        <v>4361346.4593599997</v>
      </c>
      <c r="R28" s="369"/>
    </row>
    <row r="29" spans="1:18" ht="11.25" customHeight="1" x14ac:dyDescent="0.25">
      <c r="A29" s="250" t="str">
        <f t="shared" si="3"/>
        <v>Vote 7 - 520 WASTE MANAGEMENT</v>
      </c>
      <c r="B29" s="859"/>
      <c r="C29" s="1629">
        <v>681427.25</v>
      </c>
      <c r="D29" s="1606">
        <v>681427.25</v>
      </c>
      <c r="E29" s="1606">
        <v>681427.25</v>
      </c>
      <c r="F29" s="1606">
        <v>681427.25</v>
      </c>
      <c r="G29" s="1606">
        <v>681427.25</v>
      </c>
      <c r="H29" s="1606">
        <v>681427.25</v>
      </c>
      <c r="I29" s="1606">
        <v>681427.25</v>
      </c>
      <c r="J29" s="1606">
        <v>681427.25</v>
      </c>
      <c r="K29" s="1606">
        <v>681427.25</v>
      </c>
      <c r="L29" s="1606">
        <v>681427.25</v>
      </c>
      <c r="M29" s="1606">
        <v>681427.25</v>
      </c>
      <c r="N29" s="803">
        <f t="shared" si="4"/>
        <v>681427.25</v>
      </c>
      <c r="O29" s="206">
        <f>'A3-FinPerf V'!I29</f>
        <v>8177127</v>
      </c>
      <c r="P29" s="203">
        <f>'A3-FinPerf V'!J29</f>
        <v>8659577.4930000007</v>
      </c>
      <c r="Q29" s="204">
        <f>'A3-FinPerf V'!K29</f>
        <v>9144513.8326080013</v>
      </c>
      <c r="R29" s="369"/>
    </row>
    <row r="30" spans="1:18" ht="11.25" customHeight="1" x14ac:dyDescent="0.25">
      <c r="A30" s="250" t="str">
        <f t="shared" si="3"/>
        <v>Vote 8 - 530 ELECTRICITY SERVICES</v>
      </c>
      <c r="B30" s="859"/>
      <c r="C30" s="1629">
        <v>180146.25</v>
      </c>
      <c r="D30" s="1606">
        <v>180146.25</v>
      </c>
      <c r="E30" s="1606">
        <v>180146.25</v>
      </c>
      <c r="F30" s="1606">
        <v>180146.25</v>
      </c>
      <c r="G30" s="1606">
        <v>180146.25</v>
      </c>
      <c r="H30" s="1606">
        <v>180146.25</v>
      </c>
      <c r="I30" s="1606">
        <v>180146.25</v>
      </c>
      <c r="J30" s="1606">
        <v>180146.25</v>
      </c>
      <c r="K30" s="1606">
        <v>180146.25</v>
      </c>
      <c r="L30" s="1606">
        <v>180146.25</v>
      </c>
      <c r="M30" s="1606">
        <v>180146.25</v>
      </c>
      <c r="N30" s="803">
        <f>O30-SUM(C30:M30)</f>
        <v>180146.25</v>
      </c>
      <c r="O30" s="206">
        <f>'A3-FinPerf V'!I30</f>
        <v>2161755</v>
      </c>
      <c r="P30" s="203">
        <f>'A3-FinPerf V'!J30</f>
        <v>2289298.5449999999</v>
      </c>
      <c r="Q30" s="204">
        <f>'A3-FinPerf V'!K30</f>
        <v>2417499.2635199996</v>
      </c>
      <c r="R30" s="369"/>
    </row>
    <row r="31" spans="1:18" ht="11.25" customHeight="1" x14ac:dyDescent="0.25">
      <c r="A31" s="250" t="str">
        <f t="shared" si="3"/>
        <v>Vote 9 - 540 WATER SERVICES</v>
      </c>
      <c r="B31" s="859"/>
      <c r="C31" s="1629">
        <v>16152505.166666666</v>
      </c>
      <c r="D31" s="1606">
        <v>16152505.166666666</v>
      </c>
      <c r="E31" s="1606">
        <v>16152505.166666666</v>
      </c>
      <c r="F31" s="1606">
        <v>16152505.166666666</v>
      </c>
      <c r="G31" s="1606">
        <v>16152505.166666666</v>
      </c>
      <c r="H31" s="1606">
        <v>16152505.166666666</v>
      </c>
      <c r="I31" s="1606">
        <v>16152505.166666666</v>
      </c>
      <c r="J31" s="1606">
        <v>16152505.166666666</v>
      </c>
      <c r="K31" s="1606">
        <v>16152505.166666666</v>
      </c>
      <c r="L31" s="1606">
        <v>16152505.166666666</v>
      </c>
      <c r="M31" s="1606">
        <v>16152505.166666666</v>
      </c>
      <c r="N31" s="803">
        <f>O31-SUM(C31:M31)</f>
        <v>16152505.166666687</v>
      </c>
      <c r="O31" s="206">
        <f>'A3-FinPerf V'!I31</f>
        <v>193830062</v>
      </c>
      <c r="P31" s="203">
        <f>'A3-FinPerf V'!J31</f>
        <v>205266035.65799999</v>
      </c>
      <c r="Q31" s="204">
        <f>'A3-FinPerf V'!K31</f>
        <v>216760933.65484798</v>
      </c>
      <c r="R31" s="369"/>
    </row>
    <row r="32" spans="1:18" ht="11.25" customHeight="1" x14ac:dyDescent="0.25">
      <c r="A32" s="250" t="str">
        <f t="shared" ref="A32:A37" si="5">A14</f>
        <v>Vote 10 - 550 ROADS &amp; STORMWATER</v>
      </c>
      <c r="B32" s="859"/>
      <c r="C32" s="1629">
        <v>1033010.3508333334</v>
      </c>
      <c r="D32" s="1606">
        <v>1033010.3508333334</v>
      </c>
      <c r="E32" s="1606">
        <v>1033010.3508333334</v>
      </c>
      <c r="F32" s="1606">
        <v>1033010.3508333334</v>
      </c>
      <c r="G32" s="1606">
        <v>1033010.3508333334</v>
      </c>
      <c r="H32" s="1606">
        <v>1033010.3508333334</v>
      </c>
      <c r="I32" s="1606">
        <v>1033010.3508333334</v>
      </c>
      <c r="J32" s="1606">
        <v>1033010.3508333334</v>
      </c>
      <c r="K32" s="1606">
        <v>1033010.3508333334</v>
      </c>
      <c r="L32" s="1606">
        <v>1033010.3508333334</v>
      </c>
      <c r="M32" s="1606">
        <v>1033010.3508333334</v>
      </c>
      <c r="N32" s="803">
        <f t="shared" ref="N32:N37" si="6">O32-SUM(C32:M32)</f>
        <v>1033010.3508333322</v>
      </c>
      <c r="O32" s="206">
        <f>'A3-FinPerf V'!I32</f>
        <v>12396124.210000001</v>
      </c>
      <c r="P32" s="203">
        <f>'A3-FinPerf V'!J32</f>
        <v>13127495.538390001</v>
      </c>
      <c r="Q32" s="204">
        <f>'A3-FinPerf V'!K32</f>
        <v>13862635.28853984</v>
      </c>
      <c r="R32" s="369"/>
    </row>
    <row r="33" spans="1:18" ht="11.25" customHeight="1" x14ac:dyDescent="0.25">
      <c r="A33" s="250" t="str">
        <f t="shared" si="5"/>
        <v>Vote 11 - 560 SANITATION SERVICES</v>
      </c>
      <c r="B33" s="859"/>
      <c r="C33" s="1629">
        <v>483621.33333333331</v>
      </c>
      <c r="D33" s="1606">
        <v>483621.33333333331</v>
      </c>
      <c r="E33" s="1606">
        <v>483621.33333333331</v>
      </c>
      <c r="F33" s="1606">
        <v>483621.33333333331</v>
      </c>
      <c r="G33" s="1606">
        <v>483621.33333333331</v>
      </c>
      <c r="H33" s="1606">
        <v>483621.33333333331</v>
      </c>
      <c r="I33" s="1606">
        <v>483621.33333333331</v>
      </c>
      <c r="J33" s="1606">
        <v>483621.33333333331</v>
      </c>
      <c r="K33" s="1606">
        <v>483621.33333333331</v>
      </c>
      <c r="L33" s="1606">
        <v>483621.33333333331</v>
      </c>
      <c r="M33" s="1606">
        <v>483621.33333333331</v>
      </c>
      <c r="N33" s="803">
        <f t="shared" si="6"/>
        <v>483621.33333333395</v>
      </c>
      <c r="O33" s="206">
        <f>'A3-FinPerf V'!I33</f>
        <v>5803456</v>
      </c>
      <c r="P33" s="203">
        <f>'A3-FinPerf V'!J33</f>
        <v>6145859.9040000001</v>
      </c>
      <c r="Q33" s="204">
        <f>'A3-FinPerf V'!K33</f>
        <v>6490028.0586240003</v>
      </c>
      <c r="R33" s="369"/>
    </row>
    <row r="34" spans="1:18" ht="11.25" customHeight="1" x14ac:dyDescent="0.25">
      <c r="A34" s="250" t="str">
        <f t="shared" si="5"/>
        <v>Vote 12 - 106 CORPORATE SERVICES</v>
      </c>
      <c r="B34" s="859"/>
      <c r="C34" s="1629">
        <v>2020872.9091666667</v>
      </c>
      <c r="D34" s="1606">
        <v>2020872.9091666667</v>
      </c>
      <c r="E34" s="1606">
        <v>2020872.9091666667</v>
      </c>
      <c r="F34" s="1606">
        <v>2020872.9091666667</v>
      </c>
      <c r="G34" s="1606">
        <v>2020872.9091666667</v>
      </c>
      <c r="H34" s="1606">
        <v>2020872.9091666667</v>
      </c>
      <c r="I34" s="1606">
        <v>2020872.9091666667</v>
      </c>
      <c r="J34" s="1606">
        <v>2020872.9091666667</v>
      </c>
      <c r="K34" s="1606">
        <v>2020872.9091666667</v>
      </c>
      <c r="L34" s="1606">
        <v>2020872.9091666667</v>
      </c>
      <c r="M34" s="1606">
        <v>2020872.9091666667</v>
      </c>
      <c r="N34" s="803">
        <f t="shared" si="6"/>
        <v>2020872.9091666602</v>
      </c>
      <c r="O34" s="206">
        <f>'A3-FinPerf V'!I34</f>
        <v>24250474.91</v>
      </c>
      <c r="P34" s="203">
        <f>'A3-FinPerf V'!J34</f>
        <v>25681252.929690003</v>
      </c>
      <c r="Q34" s="204">
        <f>'A3-FinPerf V'!K34</f>
        <v>27119403.093752641</v>
      </c>
      <c r="R34" s="369"/>
    </row>
    <row r="35" spans="1:18" ht="11.25" customHeight="1" x14ac:dyDescent="0.25">
      <c r="A35" s="250" t="str">
        <f t="shared" si="5"/>
        <v>Vote 13 - 107 COMMUNITY SERVICES</v>
      </c>
      <c r="B35" s="859"/>
      <c r="C35" s="1606">
        <f>6244531/12</f>
        <v>520377.58333333331</v>
      </c>
      <c r="D35" s="1606">
        <v>520377.58333333331</v>
      </c>
      <c r="E35" s="1606">
        <v>520377.58333333331</v>
      </c>
      <c r="F35" s="1606">
        <v>520377.58333333331</v>
      </c>
      <c r="G35" s="1606">
        <v>520377.58333333331</v>
      </c>
      <c r="H35" s="1606">
        <v>520377.58333333331</v>
      </c>
      <c r="I35" s="1606">
        <v>520377.58333333331</v>
      </c>
      <c r="J35" s="1606">
        <v>520377.58333333331</v>
      </c>
      <c r="K35" s="1606">
        <v>520377.58333333331</v>
      </c>
      <c r="L35" s="1606">
        <v>520377.58333333331</v>
      </c>
      <c r="M35" s="1606">
        <v>520377.58333333331</v>
      </c>
      <c r="N35" s="803">
        <f t="shared" si="6"/>
        <v>520377.58333333395</v>
      </c>
      <c r="O35" s="206">
        <f>'A3-FinPerf V'!I35</f>
        <v>6244531</v>
      </c>
      <c r="P35" s="203">
        <f>'A3-FinPerf V'!J35</f>
        <v>6612958.3289999999</v>
      </c>
      <c r="Q35" s="204">
        <f>'A3-FinPerf V'!K35</f>
        <v>6983283.9954239996</v>
      </c>
      <c r="R35" s="369"/>
    </row>
    <row r="36" spans="1:18" ht="11.25" customHeight="1" x14ac:dyDescent="0.25">
      <c r="A36" s="250" t="str">
        <f t="shared" si="5"/>
        <v>Vote 14 - 108 PUBLIC SAFETY &amp; ROADS</v>
      </c>
      <c r="B36" s="859"/>
      <c r="C36" s="1629">
        <v>1948820.9166666667</v>
      </c>
      <c r="D36" s="1606">
        <v>1948820.9166666667</v>
      </c>
      <c r="E36" s="1606">
        <v>1948820.9166666667</v>
      </c>
      <c r="F36" s="1606">
        <v>1948820.9166666667</v>
      </c>
      <c r="G36" s="1606">
        <v>1948820.9166666667</v>
      </c>
      <c r="H36" s="1606">
        <v>1948820.9166666667</v>
      </c>
      <c r="I36" s="1606">
        <v>1948820.9166666667</v>
      </c>
      <c r="J36" s="1606">
        <v>1948820.9166666667</v>
      </c>
      <c r="K36" s="1606">
        <v>1948820.9166666667</v>
      </c>
      <c r="L36" s="1606">
        <v>1948820.9166666667</v>
      </c>
      <c r="M36" s="1606">
        <v>1948820.9166666667</v>
      </c>
      <c r="N36" s="803">
        <f t="shared" si="6"/>
        <v>1948820.9166666642</v>
      </c>
      <c r="O36" s="206">
        <f>'A3-FinPerf V'!I36</f>
        <v>23385851</v>
      </c>
      <c r="P36" s="203">
        <f>'A3-FinPerf V'!J36</f>
        <v>24765616.208999999</v>
      </c>
      <c r="Q36" s="204">
        <f>'A3-FinPerf V'!K36</f>
        <v>26152490.716704</v>
      </c>
      <c r="R36" s="369"/>
    </row>
    <row r="37" spans="1:18" ht="11.25" customHeight="1" x14ac:dyDescent="0.25">
      <c r="A37" s="250" t="str">
        <f t="shared" si="5"/>
        <v>Vote 15 - 300 SPORTS,RECREATION ARTS,CULTURE AND PROPERTY SERVICES</v>
      </c>
      <c r="B37" s="859"/>
      <c r="C37" s="1629">
        <v>752469.41666666663</v>
      </c>
      <c r="D37" s="1606">
        <v>752469.41666666663</v>
      </c>
      <c r="E37" s="1606">
        <v>752469.41666666663</v>
      </c>
      <c r="F37" s="1606">
        <v>752469.41666666663</v>
      </c>
      <c r="G37" s="1606">
        <v>752469.41666666663</v>
      </c>
      <c r="H37" s="1606">
        <v>752469.41666666663</v>
      </c>
      <c r="I37" s="1606">
        <v>752469.41666666663</v>
      </c>
      <c r="J37" s="1606">
        <v>752469.41666666663</v>
      </c>
      <c r="K37" s="1606">
        <v>752469.41666666663</v>
      </c>
      <c r="L37" s="1606">
        <v>752469.41666666663</v>
      </c>
      <c r="M37" s="1606">
        <v>752469.41666666663</v>
      </c>
      <c r="N37" s="803">
        <f t="shared" si="6"/>
        <v>752469.41666666511</v>
      </c>
      <c r="O37" s="206">
        <f>'A3-FinPerf V'!I37</f>
        <v>9029633</v>
      </c>
      <c r="P37" s="203">
        <f>'A3-FinPerf V'!J37</f>
        <v>9562381.347000001</v>
      </c>
      <c r="Q37" s="204">
        <f>'A3-FinPerf V'!K37</f>
        <v>10097874.702431999</v>
      </c>
      <c r="R37" s="369"/>
    </row>
    <row r="38" spans="1:18" x14ac:dyDescent="0.25">
      <c r="A38" s="265" t="str">
        <f>'A3-FinPerf V'!A38</f>
        <v>Total Expenditure by Vote</v>
      </c>
      <c r="B38" s="860"/>
      <c r="C38" s="215">
        <f>SUM(C23:C37)</f>
        <v>52495298.219999999</v>
      </c>
      <c r="D38" s="213">
        <f t="shared" ref="D38:N38" si="7">SUM(D23:D37)</f>
        <v>52495298.219999999</v>
      </c>
      <c r="E38" s="213">
        <f t="shared" si="7"/>
        <v>52495298.219999999</v>
      </c>
      <c r="F38" s="213">
        <f t="shared" si="7"/>
        <v>52495298.219999999</v>
      </c>
      <c r="G38" s="213">
        <f t="shared" si="7"/>
        <v>52495298.219999999</v>
      </c>
      <c r="H38" s="213">
        <f t="shared" si="7"/>
        <v>52495298.219999999</v>
      </c>
      <c r="I38" s="213">
        <f t="shared" si="7"/>
        <v>52495298.219999999</v>
      </c>
      <c r="J38" s="213">
        <f t="shared" si="7"/>
        <v>52495298.219999999</v>
      </c>
      <c r="K38" s="213">
        <f t="shared" si="7"/>
        <v>52495298.219999999</v>
      </c>
      <c r="L38" s="213">
        <f t="shared" si="7"/>
        <v>52495298.219999999</v>
      </c>
      <c r="M38" s="213">
        <f t="shared" si="7"/>
        <v>52495298.219999999</v>
      </c>
      <c r="N38" s="861">
        <f t="shared" si="7"/>
        <v>52495298.219999917</v>
      </c>
      <c r="O38" s="216">
        <f>SUM(O23:O37)</f>
        <v>629943578.63999999</v>
      </c>
      <c r="P38" s="213">
        <f>SUM(P23:P37)</f>
        <v>667110249.77976012</v>
      </c>
      <c r="Q38" s="214">
        <f>SUM(Q23:Q37)</f>
        <v>704468423.76742661</v>
      </c>
      <c r="R38" s="369"/>
    </row>
    <row r="39" spans="1:18" ht="5.0999999999999996" customHeight="1" x14ac:dyDescent="0.25">
      <c r="A39" s="273"/>
      <c r="B39" s="859"/>
      <c r="C39" s="205"/>
      <c r="D39" s="203"/>
      <c r="E39" s="203"/>
      <c r="F39" s="203"/>
      <c r="G39" s="203"/>
      <c r="H39" s="203"/>
      <c r="I39" s="203"/>
      <c r="J39" s="203"/>
      <c r="K39" s="203"/>
      <c r="L39" s="203"/>
      <c r="M39" s="203"/>
      <c r="N39" s="803"/>
      <c r="O39" s="206"/>
      <c r="P39" s="203"/>
      <c r="Q39" s="204"/>
      <c r="R39" s="369"/>
    </row>
    <row r="40" spans="1:18" x14ac:dyDescent="0.25">
      <c r="A40" s="863" t="str">
        <f>'A4-FinPerf RE'!A38&amp;" before assoc."</f>
        <v>Surplus/(Deficit) before assoc.</v>
      </c>
      <c r="B40" s="864"/>
      <c r="C40" s="215">
        <f t="shared" ref="C40:Q40" si="8">C20-C38</f>
        <v>-1738958.5108333379</v>
      </c>
      <c r="D40" s="213">
        <f t="shared" si="8"/>
        <v>-1738958.5108333379</v>
      </c>
      <c r="E40" s="213">
        <f t="shared" si="8"/>
        <v>-1738958.5108333379</v>
      </c>
      <c r="F40" s="213">
        <f t="shared" si="8"/>
        <v>-1738958.5108333379</v>
      </c>
      <c r="G40" s="213">
        <f t="shared" si="8"/>
        <v>-1738958.5108333379</v>
      </c>
      <c r="H40" s="213">
        <f t="shared" si="8"/>
        <v>-1738958.5108333379</v>
      </c>
      <c r="I40" s="213">
        <f t="shared" si="8"/>
        <v>-1738958.5108333379</v>
      </c>
      <c r="J40" s="213">
        <f t="shared" si="8"/>
        <v>-1738958.5108333379</v>
      </c>
      <c r="K40" s="213">
        <f t="shared" si="8"/>
        <v>-1738958.5108333379</v>
      </c>
      <c r="L40" s="213">
        <f t="shared" si="8"/>
        <v>-1738958.5108333379</v>
      </c>
      <c r="M40" s="213">
        <f t="shared" si="8"/>
        <v>-1738958.5108333379</v>
      </c>
      <c r="N40" s="861">
        <f t="shared" si="8"/>
        <v>-1738958.230833292</v>
      </c>
      <c r="O40" s="216">
        <f t="shared" si="8"/>
        <v>-20867501.849999905</v>
      </c>
      <c r="P40" s="213">
        <f t="shared" si="8"/>
        <v>-22098684.459150076</v>
      </c>
      <c r="Q40" s="214">
        <f t="shared" si="8"/>
        <v>-23336210.788862467</v>
      </c>
    </row>
    <row r="41" spans="1:18" ht="5.0999999999999996" customHeight="1" x14ac:dyDescent="0.25">
      <c r="A41" s="273"/>
      <c r="B41" s="859"/>
      <c r="C41" s="205"/>
      <c r="D41" s="203"/>
      <c r="E41" s="203"/>
      <c r="F41" s="203"/>
      <c r="G41" s="203"/>
      <c r="H41" s="203"/>
      <c r="I41" s="203"/>
      <c r="J41" s="203"/>
      <c r="K41" s="203"/>
      <c r="L41" s="203"/>
      <c r="M41" s="203"/>
      <c r="N41" s="803"/>
      <c r="O41" s="206"/>
      <c r="P41" s="203"/>
      <c r="Q41" s="204"/>
    </row>
    <row r="42" spans="1:18" ht="11.25" customHeight="1" x14ac:dyDescent="0.25">
      <c r="A42" s="250" t="str">
        <f>'SA25'!A43</f>
        <v>Taxation</v>
      </c>
      <c r="B42" s="859"/>
      <c r="C42" s="1629">
        <v>0</v>
      </c>
      <c r="D42" s="1606">
        <v>0</v>
      </c>
      <c r="E42" s="1606">
        <v>0</v>
      </c>
      <c r="F42" s="1606">
        <v>0</v>
      </c>
      <c r="G42" s="1606">
        <v>0</v>
      </c>
      <c r="H42" s="1606">
        <v>0</v>
      </c>
      <c r="I42" s="1606">
        <v>0</v>
      </c>
      <c r="J42" s="1606">
        <v>0</v>
      </c>
      <c r="K42" s="1606">
        <v>0</v>
      </c>
      <c r="L42" s="1606">
        <v>0</v>
      </c>
      <c r="M42" s="1606">
        <v>0</v>
      </c>
      <c r="N42" s="803">
        <f>O42-SUM(C42:M42)</f>
        <v>0</v>
      </c>
      <c r="O42" s="206">
        <f>'SA25'!O43</f>
        <v>0</v>
      </c>
      <c r="P42" s="203">
        <f>'SA25'!P43</f>
        <v>0</v>
      </c>
      <c r="Q42" s="204">
        <f>'SA25'!Q43</f>
        <v>0</v>
      </c>
    </row>
    <row r="43" spans="1:18" ht="11.25" customHeight="1" x14ac:dyDescent="0.25">
      <c r="A43" s="250" t="str">
        <f>'SA25'!A44</f>
        <v>Attributable to minorities</v>
      </c>
      <c r="B43" s="859"/>
      <c r="C43" s="1629">
        <v>0</v>
      </c>
      <c r="D43" s="1606">
        <v>0</v>
      </c>
      <c r="E43" s="1606">
        <v>0</v>
      </c>
      <c r="F43" s="1606">
        <v>0</v>
      </c>
      <c r="G43" s="1606">
        <v>0</v>
      </c>
      <c r="H43" s="1606">
        <v>0</v>
      </c>
      <c r="I43" s="1606">
        <v>0</v>
      </c>
      <c r="J43" s="1606">
        <v>0</v>
      </c>
      <c r="K43" s="1606">
        <v>0</v>
      </c>
      <c r="L43" s="1606">
        <v>0</v>
      </c>
      <c r="M43" s="1606">
        <v>0</v>
      </c>
      <c r="N43" s="803">
        <f>O43-SUM(C43:M43)</f>
        <v>0</v>
      </c>
      <c r="O43" s="206">
        <f>'SA25'!O44</f>
        <v>0</v>
      </c>
      <c r="P43" s="203">
        <f>'SA25'!P44</f>
        <v>0</v>
      </c>
      <c r="Q43" s="204">
        <f>'SA25'!Q44</f>
        <v>0</v>
      </c>
    </row>
    <row r="44" spans="1:18" x14ac:dyDescent="0.25">
      <c r="A44" s="523" t="str">
        <f>'A4-FinPerf RE'!A47</f>
        <v>Share of surplus/ (deficit) of associate</v>
      </c>
      <c r="B44" s="871"/>
      <c r="C44" s="1629">
        <v>0</v>
      </c>
      <c r="D44" s="1606">
        <v>0</v>
      </c>
      <c r="E44" s="1606">
        <v>0</v>
      </c>
      <c r="F44" s="1606">
        <v>0</v>
      </c>
      <c r="G44" s="1606">
        <v>0</v>
      </c>
      <c r="H44" s="1606">
        <v>0</v>
      </c>
      <c r="I44" s="1606">
        <v>0</v>
      </c>
      <c r="J44" s="1606">
        <v>0</v>
      </c>
      <c r="K44" s="1606">
        <v>0</v>
      </c>
      <c r="L44" s="1606">
        <v>0</v>
      </c>
      <c r="M44" s="1606">
        <v>0</v>
      </c>
      <c r="N44" s="803">
        <f>O44-SUM(C44:M44)</f>
        <v>0</v>
      </c>
      <c r="O44" s="206">
        <f>'A4-FinPerf RE'!J47</f>
        <v>0</v>
      </c>
      <c r="P44" s="203">
        <f>'A4-FinPerf RE'!K47</f>
        <v>0</v>
      </c>
      <c r="Q44" s="204">
        <f>'A4-FinPerf RE'!L47</f>
        <v>0</v>
      </c>
    </row>
    <row r="45" spans="1:18" x14ac:dyDescent="0.25">
      <c r="A45" s="844" t="str">
        <f>'A4-FinPerf RE'!A38</f>
        <v>Surplus/(Deficit)</v>
      </c>
      <c r="B45" s="872">
        <v>1</v>
      </c>
      <c r="C45" s="353">
        <f>C40+C44</f>
        <v>-1738958.5108333379</v>
      </c>
      <c r="D45" s="227">
        <f t="shared" ref="D45:Q45" si="9">D40+D44</f>
        <v>-1738958.5108333379</v>
      </c>
      <c r="E45" s="227">
        <f t="shared" si="9"/>
        <v>-1738958.5108333379</v>
      </c>
      <c r="F45" s="227">
        <f t="shared" si="9"/>
        <v>-1738958.5108333379</v>
      </c>
      <c r="G45" s="227">
        <f t="shared" si="9"/>
        <v>-1738958.5108333379</v>
      </c>
      <c r="H45" s="227">
        <f t="shared" si="9"/>
        <v>-1738958.5108333379</v>
      </c>
      <c r="I45" s="227">
        <f t="shared" si="9"/>
        <v>-1738958.5108333379</v>
      </c>
      <c r="J45" s="227">
        <f t="shared" si="9"/>
        <v>-1738958.5108333379</v>
      </c>
      <c r="K45" s="227">
        <f t="shared" si="9"/>
        <v>-1738958.5108333379</v>
      </c>
      <c r="L45" s="227">
        <f t="shared" si="9"/>
        <v>-1738958.5108333379</v>
      </c>
      <c r="M45" s="227">
        <f t="shared" si="9"/>
        <v>-1738958.5108333379</v>
      </c>
      <c r="N45" s="814">
        <f t="shared" si="9"/>
        <v>-1738958.230833292</v>
      </c>
      <c r="O45" s="354">
        <f t="shared" si="9"/>
        <v>-20867501.849999905</v>
      </c>
      <c r="P45" s="227">
        <f t="shared" si="9"/>
        <v>-22098684.459150076</v>
      </c>
      <c r="Q45" s="352">
        <f t="shared" si="9"/>
        <v>-23336210.788862467</v>
      </c>
    </row>
    <row r="46" spans="1:18" s="708" customFormat="1" x14ac:dyDescent="0.25">
      <c r="A46" s="1416" t="str">
        <f>head27a</f>
        <v>References</v>
      </c>
      <c r="B46" s="1080"/>
      <c r="C46" s="1035"/>
      <c r="D46" s="1035"/>
      <c r="E46" s="1035"/>
      <c r="F46" s="1035"/>
      <c r="G46" s="1035"/>
      <c r="H46" s="1035"/>
      <c r="I46" s="1035"/>
      <c r="J46" s="1035"/>
      <c r="K46" s="1035"/>
      <c r="L46" s="1035"/>
      <c r="M46" s="1035"/>
      <c r="N46" s="1035"/>
      <c r="O46" s="1035"/>
      <c r="P46" s="1035"/>
      <c r="Q46" s="1035"/>
    </row>
    <row r="47" spans="1:18" s="708" customFormat="1" x14ac:dyDescent="0.25">
      <c r="A47" s="1414" t="s">
        <v>1594</v>
      </c>
    </row>
    <row r="48" spans="1:18" x14ac:dyDescent="0.25">
      <c r="A48" s="436" t="s">
        <v>1509</v>
      </c>
      <c r="B48" s="436"/>
      <c r="O48" s="874">
        <f>O45-'A4-FinPerf RE'!J48</f>
        <v>0</v>
      </c>
      <c r="P48" s="874">
        <f>P45-'A4-FinPerf RE'!K48</f>
        <v>-5.9604644775390625E-8</v>
      </c>
      <c r="Q48" s="874">
        <f>Q45-'A4-FinPerf RE'!L48</f>
        <v>0</v>
      </c>
    </row>
  </sheetData>
  <sheetProtection sheet="1" objects="1" scenarios="1"/>
  <customSheetViews>
    <customSheetView guid="{F50C5479-5CC4-4FD7-8319-543D29E829F0}" showGridLines="0" fitToPage="1">
      <pane xSplit="2" ySplit="3" topLeftCell="C4" activePane="bottomRight" state="frozen"/>
      <selection pane="bottomRight" activeCell="F35" sqref="F35"/>
      <pageMargins left="0" right="0" top="0.78740157480314965" bottom="0.59055118110236227" header="0.51181102362204722" footer="0.39370078740157483"/>
      <printOptions horizontalCentered="1"/>
      <pageSetup paperSize="9" scale="91" orientation="landscape" r:id="rId1"/>
      <headerFooter alignWithMargins="0"/>
    </customSheetView>
  </customSheetViews>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2"/>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42"/>
    <pageSetUpPr fitToPage="1"/>
  </sheetPr>
  <dimension ref="A1:R56"/>
  <sheetViews>
    <sheetView showGridLines="0" zoomScaleNormal="100" workbookViewId="0">
      <pane xSplit="2" ySplit="3" topLeftCell="C28" activePane="bottomRight" state="frozen"/>
      <selection activeCell="F35" sqref="F35"/>
      <selection pane="topRight" activeCell="F35" sqref="F35"/>
      <selection pane="bottomLeft" activeCell="F35" sqref="F35"/>
      <selection pane="bottomRight" activeCell="C46" sqref="C46"/>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8" ht="13.5" customHeight="1" x14ac:dyDescent="0.25">
      <c r="A1" s="147" t="str">
        <f>muni&amp;" - "&amp;TableA27</f>
        <v>MP315 Thembisile Hani - Supporting Table SA27 Budgeted monthly revenue and expenditure (standard classification)</v>
      </c>
      <c r="B1" s="147"/>
      <c r="C1" s="147"/>
      <c r="D1" s="147"/>
      <c r="E1" s="147"/>
      <c r="F1" s="147"/>
      <c r="G1" s="147"/>
      <c r="H1" s="147"/>
      <c r="I1" s="147"/>
      <c r="J1" s="147"/>
      <c r="K1" s="147"/>
      <c r="L1" s="147"/>
      <c r="M1" s="147"/>
      <c r="N1" s="147"/>
      <c r="O1" s="147"/>
      <c r="P1" s="147"/>
      <c r="Q1" s="147"/>
    </row>
    <row r="2" spans="1:18" ht="28.5" customHeight="1" x14ac:dyDescent="0.25">
      <c r="A2" s="980" t="str">
        <f>desc</f>
        <v>Description</v>
      </c>
      <c r="B2" s="992" t="str">
        <f>head27</f>
        <v>Ref</v>
      </c>
      <c r="C2" s="2766" t="str">
        <f>Head9</f>
        <v>Budget Year 2015/16</v>
      </c>
      <c r="D2" s="2767"/>
      <c r="E2" s="2767"/>
      <c r="F2" s="2767"/>
      <c r="G2" s="2767"/>
      <c r="H2" s="2767"/>
      <c r="I2" s="2767"/>
      <c r="J2" s="2767"/>
      <c r="K2" s="2767"/>
      <c r="L2" s="2767"/>
      <c r="M2" s="2767"/>
      <c r="N2" s="2767"/>
      <c r="O2" s="2763" t="s">
        <v>1785</v>
      </c>
      <c r="P2" s="2764"/>
      <c r="Q2" s="2765"/>
    </row>
    <row r="3" spans="1:18" ht="25.5" x14ac:dyDescent="0.25">
      <c r="A3" s="987" t="s">
        <v>662</v>
      </c>
      <c r="B3" s="993"/>
      <c r="C3" s="299" t="s">
        <v>720</v>
      </c>
      <c r="D3" s="923" t="s">
        <v>1398</v>
      </c>
      <c r="E3" s="923" t="s">
        <v>1399</v>
      </c>
      <c r="F3" s="923" t="s">
        <v>1400</v>
      </c>
      <c r="G3" s="923" t="s">
        <v>701</v>
      </c>
      <c r="H3" s="923" t="s">
        <v>702</v>
      </c>
      <c r="I3" s="923" t="s">
        <v>703</v>
      </c>
      <c r="J3" s="923" t="s">
        <v>704</v>
      </c>
      <c r="K3" s="923" t="s">
        <v>705</v>
      </c>
      <c r="L3" s="923" t="s">
        <v>706</v>
      </c>
      <c r="M3" s="923" t="s">
        <v>707</v>
      </c>
      <c r="N3" s="390" t="s">
        <v>708</v>
      </c>
      <c r="O3" s="299" t="str">
        <f>Head9</f>
        <v>Budget Year 2015/16</v>
      </c>
      <c r="P3" s="389" t="str">
        <f>Head10</f>
        <v>Budget Year +1 2016/17</v>
      </c>
      <c r="Q3" s="390" t="str">
        <f>Head11</f>
        <v>Budget Year +2 2017/18</v>
      </c>
    </row>
    <row r="4" spans="1:18" x14ac:dyDescent="0.25">
      <c r="A4" s="249" t="str">
        <f>'A2-FinPerf SC'!A4</f>
        <v>Revenue - Standard</v>
      </c>
      <c r="B4" s="862"/>
      <c r="C4" s="317"/>
      <c r="D4" s="315"/>
      <c r="E4" s="315"/>
      <c r="F4" s="315"/>
      <c r="G4" s="315"/>
      <c r="H4" s="315"/>
      <c r="I4" s="315"/>
      <c r="J4" s="315"/>
      <c r="K4" s="315"/>
      <c r="L4" s="315"/>
      <c r="M4" s="315"/>
      <c r="N4" s="318"/>
      <c r="O4" s="317"/>
      <c r="P4" s="315"/>
      <c r="Q4" s="318"/>
      <c r="R4" s="369"/>
    </row>
    <row r="5" spans="1:18" ht="11.25" customHeight="1" x14ac:dyDescent="0.25">
      <c r="A5" s="1266" t="str">
        <f>'A2-FinPerf SC'!A5</f>
        <v>Governance and administration</v>
      </c>
      <c r="B5" s="859"/>
      <c r="C5" s="1128">
        <f>SUM(C6:C8)</f>
        <v>31812102.794166666</v>
      </c>
      <c r="D5" s="1126">
        <f>SUM(D6:D8)</f>
        <v>31812102.794166666</v>
      </c>
      <c r="E5" s="1126">
        <f t="shared" ref="E5:M5" si="0">SUM(E6:E8)</f>
        <v>31812102.794166666</v>
      </c>
      <c r="F5" s="1126">
        <f t="shared" si="0"/>
        <v>31812102.794166666</v>
      </c>
      <c r="G5" s="1126">
        <f t="shared" si="0"/>
        <v>31812102.794166666</v>
      </c>
      <c r="H5" s="1126">
        <f t="shared" si="0"/>
        <v>31812102.794166666</v>
      </c>
      <c r="I5" s="1126">
        <f t="shared" si="0"/>
        <v>31812102.794166666</v>
      </c>
      <c r="J5" s="1126">
        <f t="shared" si="0"/>
        <v>31812102.794166666</v>
      </c>
      <c r="K5" s="1126">
        <f t="shared" si="0"/>
        <v>31812102.794166666</v>
      </c>
      <c r="L5" s="1126">
        <f t="shared" si="0"/>
        <v>31812102.794166666</v>
      </c>
      <c r="M5" s="1126">
        <f t="shared" si="0"/>
        <v>31812102.794166666</v>
      </c>
      <c r="N5" s="219">
        <f t="shared" ref="N5:N24" si="1">O5-SUM(C5:M5)</f>
        <v>31812102.794166625</v>
      </c>
      <c r="O5" s="220">
        <f>'A2-FinPerf SC'!I5</f>
        <v>381745233.52999997</v>
      </c>
      <c r="P5" s="218">
        <f>'A2-FinPerf SC'!J5</f>
        <v>404268202.30826992</v>
      </c>
      <c r="Q5" s="219">
        <f>'A2-FinPerf SC'!K5</f>
        <v>426907221.63753319</v>
      </c>
      <c r="R5" s="369"/>
    </row>
    <row r="6" spans="1:18" ht="11.25" customHeight="1" x14ac:dyDescent="0.25">
      <c r="A6" s="1267" t="str">
        <f>'A2-FinPerf SC'!A6</f>
        <v>Executive and council</v>
      </c>
      <c r="B6" s="859"/>
      <c r="C6" s="1629"/>
      <c r="D6" s="1606"/>
      <c r="E6" s="1606"/>
      <c r="F6" s="1606"/>
      <c r="G6" s="1606"/>
      <c r="H6" s="1606"/>
      <c r="I6" s="1606"/>
      <c r="J6" s="1606"/>
      <c r="K6" s="1606"/>
      <c r="L6" s="1606"/>
      <c r="M6" s="1606"/>
      <c r="N6" s="204">
        <f t="shared" si="1"/>
        <v>0</v>
      </c>
      <c r="O6" s="205">
        <f>'A2-FinPerf SC'!I6</f>
        <v>0</v>
      </c>
      <c r="P6" s="207">
        <f>'A2-FinPerf SC'!J6</f>
        <v>0</v>
      </c>
      <c r="Q6" s="264">
        <f>'A2-FinPerf SC'!K6</f>
        <v>0</v>
      </c>
      <c r="R6" s="369"/>
    </row>
    <row r="7" spans="1:18" ht="11.25" customHeight="1" x14ac:dyDescent="0.25">
      <c r="A7" s="1267" t="str">
        <f>'A2-FinPerf SC'!A7</f>
        <v>Budget and treasury office</v>
      </c>
      <c r="B7" s="859"/>
      <c r="C7" s="1631">
        <v>31812102.794166666</v>
      </c>
      <c r="D7" s="1631">
        <v>31812102.794166666</v>
      </c>
      <c r="E7" s="1631">
        <v>31812102.794166666</v>
      </c>
      <c r="F7" s="1631">
        <v>31812102.794166666</v>
      </c>
      <c r="G7" s="1631">
        <v>31812102.794166666</v>
      </c>
      <c r="H7" s="1631">
        <v>31812102.794166666</v>
      </c>
      <c r="I7" s="1631">
        <v>31812102.794166666</v>
      </c>
      <c r="J7" s="1631">
        <v>31812102.794166666</v>
      </c>
      <c r="K7" s="1631">
        <v>31812102.794166666</v>
      </c>
      <c r="L7" s="1631">
        <v>31812102.794166666</v>
      </c>
      <c r="M7" s="1631">
        <v>31812102.794166666</v>
      </c>
      <c r="N7" s="204">
        <f t="shared" si="1"/>
        <v>31812102.794166625</v>
      </c>
      <c r="O7" s="205">
        <f>'A2-FinPerf SC'!I7</f>
        <v>381745233.52999997</v>
      </c>
      <c r="P7" s="207">
        <f>'A2-FinPerf SC'!J7</f>
        <v>404268202.30826992</v>
      </c>
      <c r="Q7" s="264">
        <f>'A2-FinPerf SC'!K7</f>
        <v>426907221.63753319</v>
      </c>
      <c r="R7" s="369"/>
    </row>
    <row r="8" spans="1:18" ht="11.25" customHeight="1" x14ac:dyDescent="0.25">
      <c r="A8" s="1267" t="str">
        <f>'A2-FinPerf SC'!A8</f>
        <v>Corporate services</v>
      </c>
      <c r="B8" s="859"/>
      <c r="C8" s="1629"/>
      <c r="D8" s="1606"/>
      <c r="E8" s="1606"/>
      <c r="F8" s="1606"/>
      <c r="G8" s="1606"/>
      <c r="H8" s="1606"/>
      <c r="I8" s="1606"/>
      <c r="J8" s="1606"/>
      <c r="K8" s="1606"/>
      <c r="L8" s="1606"/>
      <c r="M8" s="1606"/>
      <c r="N8" s="204">
        <f t="shared" si="1"/>
        <v>0</v>
      </c>
      <c r="O8" s="205">
        <f>'A2-FinPerf SC'!I8</f>
        <v>0</v>
      </c>
      <c r="P8" s="207">
        <f>'A2-FinPerf SC'!J8</f>
        <v>0</v>
      </c>
      <c r="Q8" s="264">
        <f>'A2-FinPerf SC'!K8</f>
        <v>0</v>
      </c>
      <c r="R8" s="369"/>
    </row>
    <row r="9" spans="1:18" ht="11.25" customHeight="1" x14ac:dyDescent="0.25">
      <c r="A9" s="1266" t="str">
        <f>'A2-FinPerf SC'!A9</f>
        <v>Community and public safety</v>
      </c>
      <c r="B9" s="859"/>
      <c r="C9" s="1128">
        <f>SUM(C10:C14)</f>
        <v>2413212.855</v>
      </c>
      <c r="D9" s="1126">
        <f t="shared" ref="D9:M9" si="2">SUM(D10:D14)</f>
        <v>2413212.855</v>
      </c>
      <c r="E9" s="1126">
        <f t="shared" si="2"/>
        <v>2413212.855</v>
      </c>
      <c r="F9" s="1126">
        <f t="shared" si="2"/>
        <v>2413212.855</v>
      </c>
      <c r="G9" s="1126">
        <f t="shared" si="2"/>
        <v>2413212.855</v>
      </c>
      <c r="H9" s="1126">
        <f t="shared" si="2"/>
        <v>2413212.855</v>
      </c>
      <c r="I9" s="1126">
        <f t="shared" si="2"/>
        <v>2413212.855</v>
      </c>
      <c r="J9" s="1126">
        <f t="shared" si="2"/>
        <v>2413212.855</v>
      </c>
      <c r="K9" s="1126">
        <f t="shared" si="2"/>
        <v>2413212.855</v>
      </c>
      <c r="L9" s="1126">
        <f t="shared" si="2"/>
        <v>2413212.855</v>
      </c>
      <c r="M9" s="1126">
        <f t="shared" si="2"/>
        <v>2413212.855</v>
      </c>
      <c r="N9" s="219">
        <f t="shared" si="1"/>
        <v>2413212.8550000004</v>
      </c>
      <c r="O9" s="220">
        <f>'A2-FinPerf SC'!I9</f>
        <v>28958554.260000002</v>
      </c>
      <c r="P9" s="393">
        <f>'A2-FinPerf SC'!J9</f>
        <v>30667108.961340003</v>
      </c>
      <c r="Q9" s="345">
        <f>'A2-FinPerf SC'!K9</f>
        <v>32384467.063175038</v>
      </c>
      <c r="R9" s="369"/>
    </row>
    <row r="10" spans="1:18" ht="11.25" customHeight="1" x14ac:dyDescent="0.25">
      <c r="A10" s="1267" t="str">
        <f>'A2-FinPerf SC'!A10</f>
        <v>Community and social services</v>
      </c>
      <c r="B10" s="859"/>
      <c r="C10" s="1606">
        <f>'SA26'!C17+'SA26'!C19</f>
        <v>1776846.1883333335</v>
      </c>
      <c r="D10" s="1606">
        <f>'SA26'!D17+'SA26'!D19</f>
        <v>1776846.1883333335</v>
      </c>
      <c r="E10" s="1606">
        <f>'SA26'!E17+'SA26'!E19</f>
        <v>1776846.1883333335</v>
      </c>
      <c r="F10" s="1606">
        <f>'SA26'!F17+'SA26'!F19</f>
        <v>1776846.1883333335</v>
      </c>
      <c r="G10" s="1606">
        <f>'SA26'!G17+'SA26'!G19</f>
        <v>1776846.1883333335</v>
      </c>
      <c r="H10" s="1606">
        <f>'SA26'!H17+'SA26'!H19</f>
        <v>1776846.1883333335</v>
      </c>
      <c r="I10" s="1606">
        <f>'SA26'!I17+'SA26'!I19</f>
        <v>1776846.1883333335</v>
      </c>
      <c r="J10" s="1606">
        <f>'SA26'!J17+'SA26'!J19</f>
        <v>1776846.1883333335</v>
      </c>
      <c r="K10" s="1606">
        <f>'SA26'!K17+'SA26'!K19</f>
        <v>1776846.1883333335</v>
      </c>
      <c r="L10" s="1606">
        <f>'SA26'!L17+'SA26'!L19</f>
        <v>1776846.1883333335</v>
      </c>
      <c r="M10" s="1606">
        <f>'SA26'!M17+'SA26'!M19</f>
        <v>1776846.1883333335</v>
      </c>
      <c r="N10" s="204">
        <f t="shared" si="1"/>
        <v>1776846.18833334</v>
      </c>
      <c r="O10" s="205">
        <f>'A2-FinPerf SC'!I10</f>
        <v>21322154.260000002</v>
      </c>
      <c r="P10" s="207">
        <f>'A2-FinPerf SC'!J10</f>
        <v>22580161.361340001</v>
      </c>
      <c r="Q10" s="264">
        <f>'A2-FinPerf SC'!K10</f>
        <v>23844650.397575036</v>
      </c>
      <c r="R10" s="369"/>
    </row>
    <row r="11" spans="1:18" ht="11.25" customHeight="1" x14ac:dyDescent="0.25">
      <c r="A11" s="1267" t="str">
        <f>'A2-FinPerf SC'!A11</f>
        <v>Sport and recreation</v>
      </c>
      <c r="B11" s="859"/>
      <c r="C11" s="1629"/>
      <c r="D11" s="1606"/>
      <c r="E11" s="1606"/>
      <c r="F11" s="1606"/>
      <c r="G11" s="1606"/>
      <c r="H11" s="1606"/>
      <c r="I11" s="1606"/>
      <c r="J11" s="1606"/>
      <c r="K11" s="1606"/>
      <c r="L11" s="1606"/>
      <c r="M11" s="1606"/>
      <c r="N11" s="204">
        <f t="shared" si="1"/>
        <v>0</v>
      </c>
      <c r="O11" s="205">
        <f>'A2-FinPerf SC'!I11</f>
        <v>0</v>
      </c>
      <c r="P11" s="207">
        <f>'A2-FinPerf SC'!J11</f>
        <v>0</v>
      </c>
      <c r="Q11" s="264">
        <f>'A2-FinPerf SC'!K11</f>
        <v>0</v>
      </c>
      <c r="R11" s="369"/>
    </row>
    <row r="12" spans="1:18" ht="11.25" customHeight="1" x14ac:dyDescent="0.25">
      <c r="A12" s="1267" t="str">
        <f>'A2-FinPerf SC'!A12</f>
        <v>Public safety</v>
      </c>
      <c r="B12" s="859"/>
      <c r="C12" s="1606">
        <f>'SA26'!C18</f>
        <v>636366.66666666663</v>
      </c>
      <c r="D12" s="1606">
        <f>'SA26'!D18</f>
        <v>636366.66666666663</v>
      </c>
      <c r="E12" s="1606">
        <f>'SA26'!E18</f>
        <v>636366.66666666663</v>
      </c>
      <c r="F12" s="1606">
        <f>'SA26'!F18</f>
        <v>636366.66666666663</v>
      </c>
      <c r="G12" s="1606">
        <f>'SA26'!G18</f>
        <v>636366.66666666663</v>
      </c>
      <c r="H12" s="1606">
        <f>'SA26'!H18</f>
        <v>636366.66666666663</v>
      </c>
      <c r="I12" s="1606">
        <f>'SA26'!I18</f>
        <v>636366.66666666663</v>
      </c>
      <c r="J12" s="1606">
        <f>'SA26'!J18</f>
        <v>636366.66666666663</v>
      </c>
      <c r="K12" s="1606">
        <f>'SA26'!K18</f>
        <v>636366.66666666663</v>
      </c>
      <c r="L12" s="1606">
        <f>'SA26'!L18</f>
        <v>636366.66666666663</v>
      </c>
      <c r="M12" s="1606">
        <f>'SA26'!M18</f>
        <v>636366.66666666663</v>
      </c>
      <c r="N12" s="204">
        <f t="shared" si="1"/>
        <v>636366.66666666605</v>
      </c>
      <c r="O12" s="205">
        <f>'A2-FinPerf SC'!I12</f>
        <v>7636400</v>
      </c>
      <c r="P12" s="207">
        <f>'A2-FinPerf SC'!J12</f>
        <v>8086947.5999999996</v>
      </c>
      <c r="Q12" s="264">
        <f>'A2-FinPerf SC'!K12</f>
        <v>8539816.6655999999</v>
      </c>
      <c r="R12" s="369"/>
    </row>
    <row r="13" spans="1:18" ht="11.25" customHeight="1" x14ac:dyDescent="0.25">
      <c r="A13" s="1267" t="str">
        <f>'A2-FinPerf SC'!A13</f>
        <v>Housing</v>
      </c>
      <c r="B13" s="859"/>
      <c r="C13" s="1629"/>
      <c r="D13" s="1606"/>
      <c r="E13" s="1606"/>
      <c r="F13" s="1606"/>
      <c r="G13" s="1606"/>
      <c r="H13" s="1606"/>
      <c r="I13" s="1606"/>
      <c r="J13" s="1606"/>
      <c r="K13" s="1606"/>
      <c r="L13" s="1606"/>
      <c r="M13" s="1606"/>
      <c r="N13" s="204">
        <f t="shared" si="1"/>
        <v>0</v>
      </c>
      <c r="O13" s="205">
        <f>'A2-FinPerf SC'!I13</f>
        <v>0</v>
      </c>
      <c r="P13" s="207">
        <f>'A2-FinPerf SC'!J13</f>
        <v>0</v>
      </c>
      <c r="Q13" s="264">
        <f>'A2-FinPerf SC'!K13</f>
        <v>0</v>
      </c>
      <c r="R13" s="369"/>
    </row>
    <row r="14" spans="1:18" ht="11.25" customHeight="1" x14ac:dyDescent="0.25">
      <c r="A14" s="1267" t="str">
        <f>'A2-FinPerf SC'!A14</f>
        <v>Health</v>
      </c>
      <c r="B14" s="859"/>
      <c r="C14" s="1629"/>
      <c r="D14" s="1606"/>
      <c r="E14" s="1606"/>
      <c r="F14" s="1606"/>
      <c r="G14" s="1606"/>
      <c r="H14" s="1606"/>
      <c r="I14" s="1606"/>
      <c r="J14" s="1606"/>
      <c r="K14" s="1606"/>
      <c r="L14" s="1606"/>
      <c r="M14" s="1606"/>
      <c r="N14" s="204">
        <f t="shared" si="1"/>
        <v>0</v>
      </c>
      <c r="O14" s="205">
        <f>'A2-FinPerf SC'!I14</f>
        <v>0</v>
      </c>
      <c r="P14" s="207">
        <f>'A2-FinPerf SC'!J14</f>
        <v>0</v>
      </c>
      <c r="Q14" s="264">
        <f>'A2-FinPerf SC'!K14</f>
        <v>0</v>
      </c>
      <c r="R14" s="369"/>
    </row>
    <row r="15" spans="1:18" ht="11.25" customHeight="1" x14ac:dyDescent="0.25">
      <c r="A15" s="1266" t="str">
        <f>'A2-FinPerf SC'!A15</f>
        <v>Economic and environmental services</v>
      </c>
      <c r="B15" s="859"/>
      <c r="C15" s="1128">
        <f>SUM(C16:C18)</f>
        <v>9941420.2483333331</v>
      </c>
      <c r="D15" s="1126">
        <f t="shared" ref="D15:M15" si="3">SUM(D16:D18)</f>
        <v>9941420.2483333331</v>
      </c>
      <c r="E15" s="1126">
        <f t="shared" si="3"/>
        <v>9941420.2483333331</v>
      </c>
      <c r="F15" s="1126">
        <f t="shared" si="3"/>
        <v>9941420.2483333331</v>
      </c>
      <c r="G15" s="1126">
        <f t="shared" si="3"/>
        <v>9941420.2483333331</v>
      </c>
      <c r="H15" s="1126">
        <f t="shared" si="3"/>
        <v>9941420.2483333331</v>
      </c>
      <c r="I15" s="1126">
        <f t="shared" si="3"/>
        <v>9941420.2483333331</v>
      </c>
      <c r="J15" s="1126">
        <f t="shared" si="3"/>
        <v>9941420.2483333331</v>
      </c>
      <c r="K15" s="1126">
        <f t="shared" si="3"/>
        <v>9941420.2483333331</v>
      </c>
      <c r="L15" s="1126">
        <f t="shared" si="3"/>
        <v>9941420.2483333331</v>
      </c>
      <c r="M15" s="1126">
        <f t="shared" si="3"/>
        <v>9941420.2483333331</v>
      </c>
      <c r="N15" s="219">
        <f t="shared" si="1"/>
        <v>9941420.2483333349</v>
      </c>
      <c r="O15" s="220">
        <f>'A2-FinPerf SC'!I15</f>
        <v>119297042.98</v>
      </c>
      <c r="P15" s="393">
        <f>'A2-FinPerf SC'!J15</f>
        <v>126335568.51582</v>
      </c>
      <c r="Q15" s="345">
        <f>'A2-FinPerf SC'!K15</f>
        <v>133410360.35270593</v>
      </c>
      <c r="R15" s="369"/>
    </row>
    <row r="16" spans="1:18" ht="11.25" customHeight="1" x14ac:dyDescent="0.25">
      <c r="A16" s="1267" t="str">
        <f>'A2-FinPerf SC'!A16</f>
        <v>Planning and development</v>
      </c>
      <c r="B16" s="859"/>
      <c r="C16" s="1606">
        <v>9941420.2483333331</v>
      </c>
      <c r="D16" s="1606">
        <v>9941420.2483333331</v>
      </c>
      <c r="E16" s="1606">
        <v>9941420.2483333331</v>
      </c>
      <c r="F16" s="1606">
        <v>9941420.2483333331</v>
      </c>
      <c r="G16" s="1606">
        <v>9941420.2483333331</v>
      </c>
      <c r="H16" s="1606">
        <v>9941420.2483333331</v>
      </c>
      <c r="I16" s="1606">
        <v>9941420.2483333331</v>
      </c>
      <c r="J16" s="1606">
        <v>9941420.2483333331</v>
      </c>
      <c r="K16" s="1606">
        <v>9941420.2483333331</v>
      </c>
      <c r="L16" s="1606">
        <v>9941420.2483333331</v>
      </c>
      <c r="M16" s="1606">
        <v>9941420.2483333331</v>
      </c>
      <c r="N16" s="204">
        <f t="shared" si="1"/>
        <v>9941420.2483333349</v>
      </c>
      <c r="O16" s="205">
        <f>'A2-FinPerf SC'!I16</f>
        <v>119297042.98</v>
      </c>
      <c r="P16" s="207">
        <f>'A2-FinPerf SC'!J16</f>
        <v>126335568.51582</v>
      </c>
      <c r="Q16" s="264">
        <f>'A2-FinPerf SC'!K16</f>
        <v>133410360.35270593</v>
      </c>
      <c r="R16" s="369"/>
    </row>
    <row r="17" spans="1:18" ht="11.25" customHeight="1" x14ac:dyDescent="0.25">
      <c r="A17" s="1267" t="str">
        <f>'A2-FinPerf SC'!A17</f>
        <v>Road transport</v>
      </c>
      <c r="B17" s="859"/>
      <c r="C17" s="1629"/>
      <c r="D17" s="1606"/>
      <c r="E17" s="1606"/>
      <c r="F17" s="1606"/>
      <c r="G17" s="1606"/>
      <c r="H17" s="1606"/>
      <c r="I17" s="1606"/>
      <c r="J17" s="1606"/>
      <c r="K17" s="1606"/>
      <c r="L17" s="1606"/>
      <c r="M17" s="1606"/>
      <c r="N17" s="204">
        <f t="shared" si="1"/>
        <v>0</v>
      </c>
      <c r="O17" s="205">
        <f>'A2-FinPerf SC'!I17</f>
        <v>0</v>
      </c>
      <c r="P17" s="207">
        <f>'A2-FinPerf SC'!J17</f>
        <v>0</v>
      </c>
      <c r="Q17" s="264">
        <f>'A2-FinPerf SC'!K17</f>
        <v>0</v>
      </c>
      <c r="R17" s="369"/>
    </row>
    <row r="18" spans="1:18" ht="11.25" customHeight="1" x14ac:dyDescent="0.25">
      <c r="A18" s="1267" t="str">
        <f>'A2-FinPerf SC'!A18</f>
        <v>Environmental protection</v>
      </c>
      <c r="B18" s="859"/>
      <c r="C18" s="1629"/>
      <c r="D18" s="1606"/>
      <c r="E18" s="1606"/>
      <c r="F18" s="1606"/>
      <c r="G18" s="1606"/>
      <c r="H18" s="1606"/>
      <c r="I18" s="1606"/>
      <c r="J18" s="1606"/>
      <c r="K18" s="1606"/>
      <c r="L18" s="1606"/>
      <c r="M18" s="1606"/>
      <c r="N18" s="204">
        <f t="shared" si="1"/>
        <v>0</v>
      </c>
      <c r="O18" s="205">
        <f>'A2-FinPerf SC'!I18</f>
        <v>0</v>
      </c>
      <c r="P18" s="207">
        <f>'A2-FinPerf SC'!J18</f>
        <v>0</v>
      </c>
      <c r="Q18" s="264">
        <f>'A2-FinPerf SC'!K18</f>
        <v>0</v>
      </c>
      <c r="R18" s="369"/>
    </row>
    <row r="19" spans="1:18" ht="11.25" customHeight="1" x14ac:dyDescent="0.25">
      <c r="A19" s="1266" t="str">
        <f>'A2-FinPerf SC'!A19</f>
        <v>Trading services</v>
      </c>
      <c r="B19" s="859"/>
      <c r="C19" s="1128">
        <f>SUM(C20:C23)</f>
        <v>6589603.8149999995</v>
      </c>
      <c r="D19" s="1126">
        <f t="shared" ref="D19:M19" si="4">SUM(D20:D23)</f>
        <v>6589603.8149999995</v>
      </c>
      <c r="E19" s="1126">
        <f t="shared" si="4"/>
        <v>6589603.8149999995</v>
      </c>
      <c r="F19" s="1126">
        <f t="shared" si="4"/>
        <v>6589603.8149999995</v>
      </c>
      <c r="G19" s="1126">
        <f t="shared" si="4"/>
        <v>6589603.8149999995</v>
      </c>
      <c r="H19" s="1126">
        <f t="shared" si="4"/>
        <v>6589603.8149999995</v>
      </c>
      <c r="I19" s="1126">
        <f t="shared" si="4"/>
        <v>6589603.8149999995</v>
      </c>
      <c r="J19" s="1126">
        <f t="shared" si="4"/>
        <v>6589603.8149999995</v>
      </c>
      <c r="K19" s="1126">
        <f t="shared" si="4"/>
        <v>6589603.8149999995</v>
      </c>
      <c r="L19" s="1126">
        <f t="shared" si="4"/>
        <v>6589603.8149999995</v>
      </c>
      <c r="M19" s="1126">
        <f t="shared" si="4"/>
        <v>6589603.8149999995</v>
      </c>
      <c r="N19" s="219">
        <f>O19-SUM(C19:M19)</f>
        <v>6589604.0550000072</v>
      </c>
      <c r="O19" s="220">
        <f>'A2-FinPerf SC'!I19</f>
        <v>79075246.019999996</v>
      </c>
      <c r="P19" s="393">
        <f>'A2-FinPerf SC'!J19</f>
        <v>83740685.535179988</v>
      </c>
      <c r="Q19" s="345">
        <f>'A2-FinPerf SC'!K19</f>
        <v>88430163.925150096</v>
      </c>
      <c r="R19" s="369"/>
    </row>
    <row r="20" spans="1:18" ht="11.25" customHeight="1" x14ac:dyDescent="0.25">
      <c r="A20" s="1267" t="str">
        <f>'A2-FinPerf SC'!A20</f>
        <v>Electricity</v>
      </c>
      <c r="B20" s="859"/>
      <c r="C20" s="1629">
        <v>91666.67</v>
      </c>
      <c r="D20" s="1606">
        <v>91666.67</v>
      </c>
      <c r="E20" s="1606">
        <v>91666.67</v>
      </c>
      <c r="F20" s="1606">
        <v>91666.67</v>
      </c>
      <c r="G20" s="1606">
        <v>91666.67</v>
      </c>
      <c r="H20" s="1606">
        <v>91666.67</v>
      </c>
      <c r="I20" s="1606">
        <v>91666.67</v>
      </c>
      <c r="J20" s="1606">
        <v>91666.67</v>
      </c>
      <c r="K20" s="1606">
        <v>91666.67</v>
      </c>
      <c r="L20" s="1606">
        <v>91666.67</v>
      </c>
      <c r="M20" s="1606">
        <v>91666.67</v>
      </c>
      <c r="N20" s="204">
        <f t="shared" si="1"/>
        <v>91666.629999999772</v>
      </c>
      <c r="O20" s="205">
        <f>'A2-FinPerf SC'!I20</f>
        <v>1100000</v>
      </c>
      <c r="P20" s="207">
        <f>'A2-FinPerf SC'!J20</f>
        <v>1164900</v>
      </c>
      <c r="Q20" s="264">
        <f>'A2-FinPerf SC'!K20</f>
        <v>1230134.4000000001</v>
      </c>
      <c r="R20" s="369"/>
    </row>
    <row r="21" spans="1:18" ht="11.25" customHeight="1" x14ac:dyDescent="0.25">
      <c r="A21" s="1267" t="str">
        <f>'A2-FinPerf SC'!A21</f>
        <v>Water</v>
      </c>
      <c r="B21" s="859"/>
      <c r="C21" s="1606">
        <v>4757448.0991666662</v>
      </c>
      <c r="D21" s="1606">
        <v>4757448.0991666662</v>
      </c>
      <c r="E21" s="1606">
        <v>4757448.0991666662</v>
      </c>
      <c r="F21" s="1606">
        <v>4757448.0991666662</v>
      </c>
      <c r="G21" s="1606">
        <v>4757448.0991666662</v>
      </c>
      <c r="H21" s="1606">
        <v>4757448.0991666662</v>
      </c>
      <c r="I21" s="1606">
        <v>4757448.0991666662</v>
      </c>
      <c r="J21" s="1606">
        <v>4757448.0991666662</v>
      </c>
      <c r="K21" s="1606">
        <v>4757448.0991666662</v>
      </c>
      <c r="L21" s="1606">
        <v>4757448.0991666662</v>
      </c>
      <c r="M21" s="1606">
        <v>4757448.0991666662</v>
      </c>
      <c r="N21" s="204">
        <f t="shared" si="1"/>
        <v>4757448.3791666627</v>
      </c>
      <c r="O21" s="205">
        <f>'A2-FinPerf SC'!I21</f>
        <v>57089377.469999999</v>
      </c>
      <c r="P21" s="207">
        <f>'A2-FinPerf SC'!J21</f>
        <v>60457650.740729995</v>
      </c>
      <c r="Q21" s="264">
        <f>'A2-FinPerf SC'!K21</f>
        <v>63843279.182210885</v>
      </c>
      <c r="R21" s="369"/>
    </row>
    <row r="22" spans="1:18" ht="11.25" customHeight="1" x14ac:dyDescent="0.25">
      <c r="A22" s="1267" t="str">
        <f>'A2-FinPerf SC'!A22</f>
        <v>Waste water management</v>
      </c>
      <c r="B22" s="859"/>
      <c r="C22" s="1606">
        <v>170351.965</v>
      </c>
      <c r="D22" s="1606">
        <v>170351.965</v>
      </c>
      <c r="E22" s="1606">
        <v>170351.965</v>
      </c>
      <c r="F22" s="1606">
        <v>170351.965</v>
      </c>
      <c r="G22" s="1606">
        <v>170351.965</v>
      </c>
      <c r="H22" s="1606">
        <v>170351.965</v>
      </c>
      <c r="I22" s="1606">
        <v>170351.965</v>
      </c>
      <c r="J22" s="1606">
        <v>170351.965</v>
      </c>
      <c r="K22" s="1606">
        <v>170351.965</v>
      </c>
      <c r="L22" s="1606">
        <v>170351.965</v>
      </c>
      <c r="M22" s="1606">
        <v>170351.965</v>
      </c>
      <c r="N22" s="204">
        <f t="shared" si="1"/>
        <v>170351.96500000008</v>
      </c>
      <c r="O22" s="205">
        <f>'A2-FinPerf SC'!I22</f>
        <v>2044223.5800000003</v>
      </c>
      <c r="P22" s="207">
        <f>'A2-FinPerf SC'!J22</f>
        <v>2164832.77122</v>
      </c>
      <c r="Q22" s="264">
        <f>'A2-FinPerf SC'!K22</f>
        <v>2286063.4064083202</v>
      </c>
      <c r="R22" s="369"/>
    </row>
    <row r="23" spans="1:18" ht="11.25" customHeight="1" x14ac:dyDescent="0.25">
      <c r="A23" s="1267" t="str">
        <f>'A2-FinPerf SC'!A23</f>
        <v>Waste management</v>
      </c>
      <c r="B23" s="859"/>
      <c r="C23" s="1606">
        <v>1570137.0808333333</v>
      </c>
      <c r="D23" s="1606">
        <v>1570137.0808333333</v>
      </c>
      <c r="E23" s="1606">
        <v>1570137.0808333333</v>
      </c>
      <c r="F23" s="1606">
        <v>1570137.0808333333</v>
      </c>
      <c r="G23" s="1606">
        <v>1570137.0808333333</v>
      </c>
      <c r="H23" s="1606">
        <v>1570137.0808333333</v>
      </c>
      <c r="I23" s="1606">
        <v>1570137.0808333333</v>
      </c>
      <c r="J23" s="1606">
        <v>1570137.0808333333</v>
      </c>
      <c r="K23" s="1606">
        <v>1570137.0808333333</v>
      </c>
      <c r="L23" s="1606">
        <v>1570137.0808333333</v>
      </c>
      <c r="M23" s="1606">
        <v>1570137.0808333333</v>
      </c>
      <c r="N23" s="204">
        <f t="shared" si="1"/>
        <v>1570137.0808333345</v>
      </c>
      <c r="O23" s="205">
        <f>'A2-FinPerf SC'!I23</f>
        <v>18841644.969999999</v>
      </c>
      <c r="P23" s="207">
        <f>'A2-FinPerf SC'!J23</f>
        <v>19953302.023229998</v>
      </c>
      <c r="Q23" s="264">
        <f>'A2-FinPerf SC'!K23</f>
        <v>21070686.936530884</v>
      </c>
      <c r="R23" s="369"/>
    </row>
    <row r="24" spans="1:18" ht="11.25" customHeight="1" x14ac:dyDescent="0.25">
      <c r="A24" s="1266" t="str">
        <f>'A2-FinPerf SC'!A24</f>
        <v>Other</v>
      </c>
      <c r="B24" s="859"/>
      <c r="C24" s="1643"/>
      <c r="D24" s="1641"/>
      <c r="E24" s="1641"/>
      <c r="F24" s="1641"/>
      <c r="G24" s="1641"/>
      <c r="H24" s="1641"/>
      <c r="I24" s="1641"/>
      <c r="J24" s="1641"/>
      <c r="K24" s="1641"/>
      <c r="L24" s="1641"/>
      <c r="M24" s="1641"/>
      <c r="N24" s="219">
        <f t="shared" si="1"/>
        <v>0</v>
      </c>
      <c r="O24" s="220">
        <f>'A2-FinPerf SC'!I24</f>
        <v>0</v>
      </c>
      <c r="P24" s="393">
        <f>'A2-FinPerf SC'!J24</f>
        <v>0</v>
      </c>
      <c r="Q24" s="345">
        <f>'A2-FinPerf SC'!K24</f>
        <v>0</v>
      </c>
      <c r="R24" s="369"/>
    </row>
    <row r="25" spans="1:18" x14ac:dyDescent="0.25">
      <c r="A25" s="265" t="str">
        <f>'A2-FinPerf SC'!A25</f>
        <v>Total Revenue - Standard</v>
      </c>
      <c r="B25" s="860"/>
      <c r="C25" s="269">
        <f t="shared" ref="C25:Q25" si="5">C5+C9+C15+C19+C24</f>
        <v>50756339.712499999</v>
      </c>
      <c r="D25" s="267">
        <f t="shared" si="5"/>
        <v>50756339.712499999</v>
      </c>
      <c r="E25" s="267">
        <f t="shared" si="5"/>
        <v>50756339.712499999</v>
      </c>
      <c r="F25" s="267">
        <f t="shared" si="5"/>
        <v>50756339.712499999</v>
      </c>
      <c r="G25" s="267">
        <f t="shared" si="5"/>
        <v>50756339.712499999</v>
      </c>
      <c r="H25" s="267">
        <f t="shared" si="5"/>
        <v>50756339.712499999</v>
      </c>
      <c r="I25" s="267">
        <f t="shared" si="5"/>
        <v>50756339.712499999</v>
      </c>
      <c r="J25" s="267">
        <f t="shared" si="5"/>
        <v>50756339.712499999</v>
      </c>
      <c r="K25" s="267">
        <f t="shared" si="5"/>
        <v>50756339.712499999</v>
      </c>
      <c r="L25" s="267">
        <f t="shared" si="5"/>
        <v>50756339.712499999</v>
      </c>
      <c r="M25" s="267">
        <f t="shared" si="5"/>
        <v>50756339.712499999</v>
      </c>
      <c r="N25" s="267">
        <f t="shared" si="5"/>
        <v>50756339.952499971</v>
      </c>
      <c r="O25" s="215">
        <f t="shared" si="5"/>
        <v>609076076.78999996</v>
      </c>
      <c r="P25" s="213">
        <f t="shared" si="5"/>
        <v>645011565.32060993</v>
      </c>
      <c r="Q25" s="214">
        <f t="shared" si="5"/>
        <v>681132212.97856426</v>
      </c>
      <c r="R25" s="369"/>
    </row>
    <row r="26" spans="1:18" ht="5.0999999999999996" customHeight="1" x14ac:dyDescent="0.25">
      <c r="A26" s="273"/>
      <c r="B26" s="859"/>
      <c r="C26" s="205"/>
      <c r="D26" s="203">
        <f t="shared" ref="D26:L26" si="6">D6+D10+D16+D20+D25</f>
        <v>62566272.819166668</v>
      </c>
      <c r="E26" s="203">
        <f t="shared" si="6"/>
        <v>62566272.819166668</v>
      </c>
      <c r="F26" s="203">
        <f t="shared" si="6"/>
        <v>62566272.819166668</v>
      </c>
      <c r="G26" s="203">
        <f t="shared" si="6"/>
        <v>62566272.819166668</v>
      </c>
      <c r="H26" s="203">
        <f t="shared" si="6"/>
        <v>62566272.819166668</v>
      </c>
      <c r="I26" s="203">
        <f t="shared" si="6"/>
        <v>62566272.819166668</v>
      </c>
      <c r="J26" s="203">
        <f t="shared" si="6"/>
        <v>62566272.819166668</v>
      </c>
      <c r="K26" s="203">
        <f t="shared" si="6"/>
        <v>62566272.819166668</v>
      </c>
      <c r="L26" s="203">
        <f t="shared" si="6"/>
        <v>62566272.819166668</v>
      </c>
      <c r="M26" s="203">
        <f>M6+M10+M16+M20+M25</f>
        <v>62566272.819166668</v>
      </c>
      <c r="N26" s="204"/>
      <c r="O26" s="205"/>
      <c r="P26" s="203"/>
      <c r="Q26" s="204"/>
      <c r="R26" s="369"/>
    </row>
    <row r="27" spans="1:18" x14ac:dyDescent="0.25">
      <c r="A27" s="249" t="str">
        <f>'A2-FinPerf SC'!A27</f>
        <v>Expenditure - Standard</v>
      </c>
      <c r="B27" s="862"/>
      <c r="C27" s="205"/>
      <c r="D27" s="203"/>
      <c r="E27" s="203"/>
      <c r="F27" s="203"/>
      <c r="G27" s="203"/>
      <c r="H27" s="203"/>
      <c r="I27" s="203"/>
      <c r="J27" s="203"/>
      <c r="K27" s="203"/>
      <c r="L27" s="203"/>
      <c r="M27" s="203"/>
      <c r="N27" s="204"/>
      <c r="O27" s="205"/>
      <c r="P27" s="203"/>
      <c r="Q27" s="204"/>
      <c r="R27" s="369"/>
    </row>
    <row r="28" spans="1:18" ht="11.25" customHeight="1" x14ac:dyDescent="0.25">
      <c r="A28" s="1266" t="str">
        <f>'A2-FinPerf SC'!A28</f>
        <v>Governance and administration</v>
      </c>
      <c r="B28" s="859"/>
      <c r="C28" s="1128">
        <f>SUM(C29:C31)</f>
        <v>30061428.369166669</v>
      </c>
      <c r="D28" s="1126">
        <f>SUM(D29:D31)</f>
        <v>30061428.369166669</v>
      </c>
      <c r="E28" s="1126">
        <f t="shared" ref="E28:M28" si="7">SUM(E29:E31)</f>
        <v>30061428.369166669</v>
      </c>
      <c r="F28" s="1126">
        <f t="shared" si="7"/>
        <v>30061428.369166669</v>
      </c>
      <c r="G28" s="1126">
        <f t="shared" si="7"/>
        <v>30061428.369166669</v>
      </c>
      <c r="H28" s="1126">
        <f t="shared" si="7"/>
        <v>30061428.369166669</v>
      </c>
      <c r="I28" s="1126">
        <f t="shared" si="7"/>
        <v>30061428.369166669</v>
      </c>
      <c r="J28" s="1126">
        <f t="shared" si="7"/>
        <v>30061428.369166669</v>
      </c>
      <c r="K28" s="1126">
        <f t="shared" si="7"/>
        <v>30061428.369166669</v>
      </c>
      <c r="L28" s="1126">
        <f t="shared" si="7"/>
        <v>30061428.369166669</v>
      </c>
      <c r="M28" s="1126">
        <f t="shared" si="7"/>
        <v>30061428.369166669</v>
      </c>
      <c r="N28" s="219">
        <f t="shared" ref="N28:N37" si="8">O28-SUM(C28:M28)</f>
        <v>30061428.369166672</v>
      </c>
      <c r="O28" s="220">
        <f>'A2-FinPerf SC'!I28</f>
        <v>360737140.43000001</v>
      </c>
      <c r="P28" s="218">
        <f>'A2-FinPerf SC'!J28</f>
        <v>382020631.71537</v>
      </c>
      <c r="Q28" s="219">
        <f>'A2-FinPerf SC'!K28</f>
        <v>403413787.09143066</v>
      </c>
      <c r="R28" s="369"/>
    </row>
    <row r="29" spans="1:18" ht="11.25" customHeight="1" x14ac:dyDescent="0.25">
      <c r="A29" s="1267" t="str">
        <f>'A2-FinPerf SC'!A29</f>
        <v>Executive and council</v>
      </c>
      <c r="B29" s="859"/>
      <c r="C29" s="1606">
        <v>21965043.126666669</v>
      </c>
      <c r="D29" s="1606">
        <v>21965043.126666669</v>
      </c>
      <c r="E29" s="1606">
        <v>21965043.126666669</v>
      </c>
      <c r="F29" s="1606">
        <v>21965043.126666669</v>
      </c>
      <c r="G29" s="1606">
        <v>21965043.126666669</v>
      </c>
      <c r="H29" s="1606">
        <v>21965043.126666669</v>
      </c>
      <c r="I29" s="1606">
        <v>21965043.126666669</v>
      </c>
      <c r="J29" s="1606">
        <v>21965043.126666669</v>
      </c>
      <c r="K29" s="1606">
        <v>21965043.126666669</v>
      </c>
      <c r="L29" s="1606">
        <v>21965043.126666669</v>
      </c>
      <c r="M29" s="1606">
        <v>21965043.126666669</v>
      </c>
      <c r="N29" s="204">
        <f t="shared" si="8"/>
        <v>21965043.126666635</v>
      </c>
      <c r="O29" s="205">
        <f>'A2-FinPerf SC'!I29</f>
        <v>263580517.51999998</v>
      </c>
      <c r="P29" s="203">
        <f>'A2-FinPerf SC'!J29</f>
        <v>279131768.05368</v>
      </c>
      <c r="Q29" s="204">
        <f>'A2-FinPerf SC'!K29</f>
        <v>294763147.06468606</v>
      </c>
      <c r="R29" s="369"/>
    </row>
    <row r="30" spans="1:18" ht="11.25" customHeight="1" x14ac:dyDescent="0.25">
      <c r="A30" s="1267" t="str">
        <f>'A2-FinPerf SC'!A30</f>
        <v>Budget and treasury office</v>
      </c>
      <c r="B30" s="859"/>
      <c r="C30" s="1631">
        <v>6075512.333333333</v>
      </c>
      <c r="D30" s="1631">
        <v>6075512.333333333</v>
      </c>
      <c r="E30" s="1631">
        <v>6075512.333333333</v>
      </c>
      <c r="F30" s="1631">
        <v>6075512.333333333</v>
      </c>
      <c r="G30" s="1631">
        <v>6075512.333333333</v>
      </c>
      <c r="H30" s="1631">
        <v>6075512.333333333</v>
      </c>
      <c r="I30" s="1631">
        <v>6075512.333333333</v>
      </c>
      <c r="J30" s="1631">
        <v>6075512.333333333</v>
      </c>
      <c r="K30" s="1631">
        <v>6075512.333333333</v>
      </c>
      <c r="L30" s="1631">
        <v>6075512.333333333</v>
      </c>
      <c r="M30" s="1631">
        <v>6075512.333333333</v>
      </c>
      <c r="N30" s="204">
        <f t="shared" si="8"/>
        <v>6075512.3333333209</v>
      </c>
      <c r="O30" s="205">
        <f>'A2-FinPerf SC'!I30</f>
        <v>72906148</v>
      </c>
      <c r="P30" s="203">
        <f>'A2-FinPerf SC'!J30</f>
        <v>77207610.731999993</v>
      </c>
      <c r="Q30" s="204">
        <f>'A2-FinPerf SC'!K30</f>
        <v>81531236.932991996</v>
      </c>
      <c r="R30" s="369"/>
    </row>
    <row r="31" spans="1:18" ht="11.25" customHeight="1" x14ac:dyDescent="0.25">
      <c r="A31" s="1267" t="str">
        <f>'A2-FinPerf SC'!A31</f>
        <v>Corporate services</v>
      </c>
      <c r="B31" s="859"/>
      <c r="C31" s="1606">
        <v>2020872.9091666667</v>
      </c>
      <c r="D31" s="1606">
        <v>2020872.9091666667</v>
      </c>
      <c r="E31" s="1606">
        <v>2020872.9091666667</v>
      </c>
      <c r="F31" s="1606">
        <v>2020872.9091666667</v>
      </c>
      <c r="G31" s="1606">
        <v>2020872.9091666667</v>
      </c>
      <c r="H31" s="1606">
        <v>2020872.9091666667</v>
      </c>
      <c r="I31" s="1606">
        <v>2020872.9091666667</v>
      </c>
      <c r="J31" s="1606">
        <v>2020872.9091666667</v>
      </c>
      <c r="K31" s="1606">
        <v>2020872.9091666667</v>
      </c>
      <c r="L31" s="1606">
        <v>2020872.9091666667</v>
      </c>
      <c r="M31" s="1606">
        <v>2020872.9091666667</v>
      </c>
      <c r="N31" s="204">
        <f t="shared" si="8"/>
        <v>2020872.9091666602</v>
      </c>
      <c r="O31" s="205">
        <f>'A2-FinPerf SC'!I31</f>
        <v>24250474.91</v>
      </c>
      <c r="P31" s="203">
        <f>'A2-FinPerf SC'!J31</f>
        <v>25681252.929690003</v>
      </c>
      <c r="Q31" s="204">
        <f>'A2-FinPerf SC'!K31</f>
        <v>27119403.093752641</v>
      </c>
      <c r="R31" s="369"/>
    </row>
    <row r="32" spans="1:18" ht="11.25" customHeight="1" x14ac:dyDescent="0.25">
      <c r="A32" s="1266" t="str">
        <f>'A2-FinPerf SC'!A32</f>
        <v>Community and public safety</v>
      </c>
      <c r="B32" s="859"/>
      <c r="C32" s="1128">
        <f>SUM(C33:C37)</f>
        <v>3221667.916666667</v>
      </c>
      <c r="D32" s="1126">
        <f t="shared" ref="D32:M32" si="9">SUM(D33:D37)</f>
        <v>3221667.916666667</v>
      </c>
      <c r="E32" s="1126">
        <f t="shared" si="9"/>
        <v>3221667.916666667</v>
      </c>
      <c r="F32" s="1126">
        <f t="shared" si="9"/>
        <v>3221667.916666667</v>
      </c>
      <c r="G32" s="1126">
        <f t="shared" si="9"/>
        <v>3221667.916666667</v>
      </c>
      <c r="H32" s="1126">
        <f t="shared" si="9"/>
        <v>3221667.916666667</v>
      </c>
      <c r="I32" s="1126">
        <f t="shared" si="9"/>
        <v>3221667.916666667</v>
      </c>
      <c r="J32" s="1126">
        <f t="shared" si="9"/>
        <v>3221667.916666667</v>
      </c>
      <c r="K32" s="1126">
        <f t="shared" si="9"/>
        <v>3221667.916666667</v>
      </c>
      <c r="L32" s="1126">
        <f t="shared" si="9"/>
        <v>3221667.916666667</v>
      </c>
      <c r="M32" s="1126">
        <f t="shared" si="9"/>
        <v>3221667.916666667</v>
      </c>
      <c r="N32" s="219">
        <f t="shared" si="8"/>
        <v>3221667.9166666567</v>
      </c>
      <c r="O32" s="220">
        <f>'A2-FinPerf SC'!I32</f>
        <v>38660015</v>
      </c>
      <c r="P32" s="218">
        <f>'A2-FinPerf SC'!J32</f>
        <v>40940955.884999998</v>
      </c>
      <c r="Q32" s="219">
        <f>'A2-FinPerf SC'!K32</f>
        <v>43233649.414559998</v>
      </c>
      <c r="R32" s="369"/>
    </row>
    <row r="33" spans="1:18" ht="11.25" customHeight="1" x14ac:dyDescent="0.25">
      <c r="A33" s="1267" t="str">
        <f>'A2-FinPerf SC'!A33</f>
        <v>Community and social services</v>
      </c>
      <c r="B33" s="859"/>
      <c r="C33" s="1606">
        <v>1272847</v>
      </c>
      <c r="D33" s="1606">
        <v>1272847</v>
      </c>
      <c r="E33" s="1606">
        <v>1272847</v>
      </c>
      <c r="F33" s="1606">
        <v>1272847</v>
      </c>
      <c r="G33" s="1606">
        <v>1272847</v>
      </c>
      <c r="H33" s="1606">
        <v>1272847</v>
      </c>
      <c r="I33" s="1606">
        <v>1272847</v>
      </c>
      <c r="J33" s="1606">
        <v>1272847</v>
      </c>
      <c r="K33" s="1606">
        <v>1272847</v>
      </c>
      <c r="L33" s="1606">
        <v>1272847</v>
      </c>
      <c r="M33" s="1606">
        <v>1272847</v>
      </c>
      <c r="N33" s="204">
        <f t="shared" si="8"/>
        <v>1272847</v>
      </c>
      <c r="O33" s="205">
        <f>'A2-FinPerf SC'!I33</f>
        <v>15274164</v>
      </c>
      <c r="P33" s="203">
        <f>'A2-FinPerf SC'!J33</f>
        <v>16175339.676000001</v>
      </c>
      <c r="Q33" s="204">
        <f>'A2-FinPerf SC'!K33</f>
        <v>17081158.697855998</v>
      </c>
      <c r="R33" s="369"/>
    </row>
    <row r="34" spans="1:18" ht="11.25" customHeight="1" x14ac:dyDescent="0.25">
      <c r="A34" s="1267" t="str">
        <f>'A2-FinPerf SC'!A34</f>
        <v>Sport and recreation</v>
      </c>
      <c r="B34" s="859"/>
      <c r="C34" s="1629"/>
      <c r="D34" s="1606"/>
      <c r="E34" s="1606"/>
      <c r="F34" s="1606"/>
      <c r="G34" s="1606"/>
      <c r="H34" s="1606"/>
      <c r="I34" s="1606"/>
      <c r="J34" s="1606"/>
      <c r="K34" s="1606"/>
      <c r="L34" s="1606"/>
      <c r="M34" s="1606"/>
      <c r="N34" s="204">
        <f t="shared" si="8"/>
        <v>0</v>
      </c>
      <c r="O34" s="205">
        <f>'A2-FinPerf SC'!I34</f>
        <v>0</v>
      </c>
      <c r="P34" s="203">
        <f>'A2-FinPerf SC'!J34</f>
        <v>0</v>
      </c>
      <c r="Q34" s="204">
        <f>'A2-FinPerf SC'!K34</f>
        <v>0</v>
      </c>
      <c r="R34" s="369"/>
    </row>
    <row r="35" spans="1:18" ht="11.25" customHeight="1" x14ac:dyDescent="0.25">
      <c r="A35" s="1267" t="str">
        <f>'A2-FinPerf SC'!A35</f>
        <v>Public safety</v>
      </c>
      <c r="B35" s="859"/>
      <c r="C35" s="1606">
        <v>1948820.9166666667</v>
      </c>
      <c r="D35" s="1606">
        <v>1948820.9166666667</v>
      </c>
      <c r="E35" s="1606">
        <v>1948820.9166666667</v>
      </c>
      <c r="F35" s="1606">
        <v>1948820.9166666667</v>
      </c>
      <c r="G35" s="1606">
        <v>1948820.9166666667</v>
      </c>
      <c r="H35" s="1606">
        <v>1948820.9166666667</v>
      </c>
      <c r="I35" s="1606">
        <v>1948820.9166666667</v>
      </c>
      <c r="J35" s="1606">
        <v>1948820.9166666667</v>
      </c>
      <c r="K35" s="1606">
        <v>1948820.9166666667</v>
      </c>
      <c r="L35" s="1606">
        <v>1948820.9166666667</v>
      </c>
      <c r="M35" s="1606">
        <v>1948820.9166666667</v>
      </c>
      <c r="N35" s="204">
        <f t="shared" si="8"/>
        <v>1948820.9166666642</v>
      </c>
      <c r="O35" s="205">
        <f>'A2-FinPerf SC'!I35</f>
        <v>23385851</v>
      </c>
      <c r="P35" s="203">
        <f>'A2-FinPerf SC'!J35</f>
        <v>24765616.208999999</v>
      </c>
      <c r="Q35" s="204">
        <f>'A2-FinPerf SC'!K35</f>
        <v>26152490.716704</v>
      </c>
      <c r="R35" s="369"/>
    </row>
    <row r="36" spans="1:18" ht="11.25" customHeight="1" x14ac:dyDescent="0.25">
      <c r="A36" s="1267" t="str">
        <f>'A2-FinPerf SC'!A36</f>
        <v>Housing</v>
      </c>
      <c r="B36" s="859"/>
      <c r="C36" s="1629"/>
      <c r="D36" s="1606"/>
      <c r="E36" s="1606"/>
      <c r="F36" s="1606"/>
      <c r="G36" s="1606"/>
      <c r="H36" s="1606"/>
      <c r="I36" s="1606"/>
      <c r="J36" s="1606"/>
      <c r="K36" s="1606"/>
      <c r="L36" s="1606"/>
      <c r="M36" s="1606"/>
      <c r="N36" s="204">
        <f t="shared" si="8"/>
        <v>0</v>
      </c>
      <c r="O36" s="205">
        <f>'A2-FinPerf SC'!I36</f>
        <v>0</v>
      </c>
      <c r="P36" s="203">
        <f>'A2-FinPerf SC'!J36</f>
        <v>0</v>
      </c>
      <c r="Q36" s="204">
        <f>'A2-FinPerf SC'!K36</f>
        <v>0</v>
      </c>
      <c r="R36" s="369"/>
    </row>
    <row r="37" spans="1:18" ht="11.25" customHeight="1" x14ac:dyDescent="0.25">
      <c r="A37" s="1267" t="str">
        <f>'A2-FinPerf SC'!A37</f>
        <v>Health</v>
      </c>
      <c r="B37" s="859"/>
      <c r="C37" s="1629"/>
      <c r="D37" s="1606"/>
      <c r="E37" s="1606"/>
      <c r="F37" s="1606"/>
      <c r="G37" s="1606"/>
      <c r="H37" s="1606"/>
      <c r="I37" s="1606"/>
      <c r="J37" s="1606"/>
      <c r="K37" s="1606"/>
      <c r="L37" s="1606"/>
      <c r="M37" s="1606"/>
      <c r="N37" s="204">
        <f t="shared" si="8"/>
        <v>0</v>
      </c>
      <c r="O37" s="205">
        <f>'A2-FinPerf SC'!I37</f>
        <v>0</v>
      </c>
      <c r="P37" s="203">
        <f>'A2-FinPerf SC'!J37</f>
        <v>0</v>
      </c>
      <c r="Q37" s="204">
        <f>'A2-FinPerf SC'!K37</f>
        <v>0</v>
      </c>
      <c r="R37" s="369"/>
    </row>
    <row r="38" spans="1:18" ht="11.25" customHeight="1" x14ac:dyDescent="0.25">
      <c r="A38" s="1266" t="str">
        <f>'A2-FinPerf SC'!A38</f>
        <v>Economic and environmental services</v>
      </c>
      <c r="B38" s="859"/>
      <c r="C38" s="1128">
        <f>SUM(C39:C41)</f>
        <v>681491.58333333337</v>
      </c>
      <c r="D38" s="1126">
        <f t="shared" ref="D38:M38" si="10">SUM(D39:D41)</f>
        <v>681491.58333333337</v>
      </c>
      <c r="E38" s="1126">
        <f t="shared" si="10"/>
        <v>681491.58333333337</v>
      </c>
      <c r="F38" s="1126">
        <f t="shared" si="10"/>
        <v>681491.58333333337</v>
      </c>
      <c r="G38" s="1126">
        <f t="shared" si="10"/>
        <v>681491.58333333337</v>
      </c>
      <c r="H38" s="1126">
        <f t="shared" si="10"/>
        <v>681491.58333333337</v>
      </c>
      <c r="I38" s="1126">
        <f t="shared" si="10"/>
        <v>681491.58333333337</v>
      </c>
      <c r="J38" s="1126">
        <f t="shared" si="10"/>
        <v>681491.58333333337</v>
      </c>
      <c r="K38" s="1126">
        <f t="shared" si="10"/>
        <v>681491.58333333337</v>
      </c>
      <c r="L38" s="1126">
        <f t="shared" si="10"/>
        <v>681491.58333333337</v>
      </c>
      <c r="M38" s="1126">
        <f t="shared" si="10"/>
        <v>681491.58333333337</v>
      </c>
      <c r="N38" s="219">
        <f t="shared" ref="N38:N47" si="11">O38-SUM(C38:M38)</f>
        <v>681491.58333333395</v>
      </c>
      <c r="O38" s="220">
        <f>'A2-FinPerf SC'!I38</f>
        <v>8177899</v>
      </c>
      <c r="P38" s="218">
        <f>'A2-FinPerf SC'!J38</f>
        <v>8660395.0410000011</v>
      </c>
      <c r="Q38" s="219">
        <f>'A2-FinPerf SC'!K38</f>
        <v>9145377.163296001</v>
      </c>
      <c r="R38" s="369"/>
    </row>
    <row r="39" spans="1:18" ht="11.25" customHeight="1" x14ac:dyDescent="0.25">
      <c r="A39" s="1267" t="str">
        <f>'A2-FinPerf SC'!A39</f>
        <v>Planning and development</v>
      </c>
      <c r="B39" s="859"/>
      <c r="C39" s="1606">
        <v>681491.58333333337</v>
      </c>
      <c r="D39" s="1606">
        <v>681491.58333333337</v>
      </c>
      <c r="E39" s="1606">
        <v>681491.58333333337</v>
      </c>
      <c r="F39" s="1606">
        <v>681491.58333333337</v>
      </c>
      <c r="G39" s="1606">
        <v>681491.58333333337</v>
      </c>
      <c r="H39" s="1606">
        <v>681491.58333333337</v>
      </c>
      <c r="I39" s="1606">
        <v>681491.58333333337</v>
      </c>
      <c r="J39" s="1606">
        <v>681491.58333333337</v>
      </c>
      <c r="K39" s="1606">
        <v>681491.58333333337</v>
      </c>
      <c r="L39" s="1606">
        <v>681491.58333333337</v>
      </c>
      <c r="M39" s="1606">
        <v>681491.58333333337</v>
      </c>
      <c r="N39" s="204">
        <f t="shared" si="11"/>
        <v>681491.58333333395</v>
      </c>
      <c r="O39" s="205">
        <f>'A2-FinPerf SC'!I39</f>
        <v>8177899</v>
      </c>
      <c r="P39" s="203">
        <f>'A2-FinPerf SC'!J39</f>
        <v>8660395.0410000011</v>
      </c>
      <c r="Q39" s="204">
        <f>'A2-FinPerf SC'!K39</f>
        <v>9145377.163296001</v>
      </c>
      <c r="R39" s="369"/>
    </row>
    <row r="40" spans="1:18" ht="11.25" customHeight="1" x14ac:dyDescent="0.25">
      <c r="A40" s="1267" t="str">
        <f>'A2-FinPerf SC'!A40</f>
        <v>Road transport</v>
      </c>
      <c r="B40" s="859"/>
      <c r="C40" s="1629"/>
      <c r="D40" s="1606"/>
      <c r="E40" s="1606"/>
      <c r="F40" s="1606"/>
      <c r="G40" s="1606"/>
      <c r="H40" s="1606"/>
      <c r="I40" s="1606"/>
      <c r="J40" s="1606"/>
      <c r="K40" s="1606"/>
      <c r="L40" s="1606"/>
      <c r="M40" s="1606"/>
      <c r="N40" s="204">
        <f t="shared" si="11"/>
        <v>0</v>
      </c>
      <c r="O40" s="205">
        <f>'A2-FinPerf SC'!I40</f>
        <v>0</v>
      </c>
      <c r="P40" s="203">
        <f>'A2-FinPerf SC'!J40</f>
        <v>0</v>
      </c>
      <c r="Q40" s="204">
        <f>'A2-FinPerf SC'!K40</f>
        <v>0</v>
      </c>
      <c r="R40" s="369"/>
    </row>
    <row r="41" spans="1:18" ht="11.25" customHeight="1" x14ac:dyDescent="0.25">
      <c r="A41" s="1267" t="str">
        <f>'A2-FinPerf SC'!A41</f>
        <v>Environmental protection</v>
      </c>
      <c r="B41" s="859"/>
      <c r="C41" s="1629"/>
      <c r="D41" s="1606"/>
      <c r="E41" s="1606"/>
      <c r="F41" s="1606"/>
      <c r="G41" s="1606"/>
      <c r="H41" s="1606"/>
      <c r="I41" s="1606"/>
      <c r="J41" s="1606"/>
      <c r="K41" s="1606"/>
      <c r="L41" s="1606"/>
      <c r="M41" s="1606"/>
      <c r="N41" s="204">
        <f t="shared" si="11"/>
        <v>0</v>
      </c>
      <c r="O41" s="205">
        <f>'A2-FinPerf SC'!I41</f>
        <v>0</v>
      </c>
      <c r="P41" s="203">
        <f>'A2-FinPerf SC'!J41</f>
        <v>0</v>
      </c>
      <c r="Q41" s="204">
        <f>'A2-FinPerf SC'!K41</f>
        <v>0</v>
      </c>
      <c r="R41" s="369"/>
    </row>
    <row r="42" spans="1:18" ht="11.25" customHeight="1" x14ac:dyDescent="0.25">
      <c r="A42" s="1266" t="str">
        <f>'A2-FinPerf SC'!A42</f>
        <v>Trading services</v>
      </c>
      <c r="B42" s="859"/>
      <c r="C42" s="1128">
        <f>SUM(C43:C46)</f>
        <v>18530710.350833334</v>
      </c>
      <c r="D42" s="1126">
        <f t="shared" ref="D42:M42" si="12">SUM(D43:D46)</f>
        <v>18530710.350833334</v>
      </c>
      <c r="E42" s="1126">
        <f t="shared" si="12"/>
        <v>18530710.350833334</v>
      </c>
      <c r="F42" s="1126">
        <f t="shared" si="12"/>
        <v>18530710.350833334</v>
      </c>
      <c r="G42" s="1126">
        <f t="shared" si="12"/>
        <v>18530710.350833334</v>
      </c>
      <c r="H42" s="1126">
        <f t="shared" si="12"/>
        <v>18530710.350833334</v>
      </c>
      <c r="I42" s="1126">
        <f t="shared" si="12"/>
        <v>18530710.350833334</v>
      </c>
      <c r="J42" s="1126">
        <f t="shared" si="12"/>
        <v>18530710.350833334</v>
      </c>
      <c r="K42" s="1126">
        <f t="shared" si="12"/>
        <v>18530710.350833334</v>
      </c>
      <c r="L42" s="1126">
        <f t="shared" si="12"/>
        <v>18530710.350833334</v>
      </c>
      <c r="M42" s="1126">
        <f t="shared" si="12"/>
        <v>18530710.350833334</v>
      </c>
      <c r="N42" s="219">
        <f>O42-SUM(C42:M42)</f>
        <v>18530710.350833386</v>
      </c>
      <c r="O42" s="220">
        <f>'A2-FinPerf SC'!I42</f>
        <v>222368524.21000001</v>
      </c>
      <c r="P42" s="218">
        <f>'A2-FinPerf SC'!J42</f>
        <v>235488267.13838997</v>
      </c>
      <c r="Q42" s="219">
        <f>'A2-FinPerf SC'!K42</f>
        <v>248675610.09813985</v>
      </c>
      <c r="R42" s="369"/>
    </row>
    <row r="43" spans="1:18" ht="11.25" customHeight="1" x14ac:dyDescent="0.25">
      <c r="A43" s="1267" t="str">
        <f>'A2-FinPerf SC'!A43</f>
        <v>Electricity</v>
      </c>
      <c r="B43" s="859"/>
      <c r="C43" s="1606">
        <v>180146.25</v>
      </c>
      <c r="D43" s="1606">
        <v>180146.25</v>
      </c>
      <c r="E43" s="1606">
        <v>180146.25</v>
      </c>
      <c r="F43" s="1606">
        <v>180146.25</v>
      </c>
      <c r="G43" s="1606">
        <v>180146.25</v>
      </c>
      <c r="H43" s="1606">
        <v>180146.25</v>
      </c>
      <c r="I43" s="1606">
        <v>180146.25</v>
      </c>
      <c r="J43" s="1606">
        <v>180146.25</v>
      </c>
      <c r="K43" s="1606">
        <v>180146.25</v>
      </c>
      <c r="L43" s="1606">
        <v>180146.25</v>
      </c>
      <c r="M43" s="1606">
        <v>180146.25</v>
      </c>
      <c r="N43" s="204">
        <f t="shared" si="11"/>
        <v>180146.25</v>
      </c>
      <c r="O43" s="205">
        <f>'A2-FinPerf SC'!I43</f>
        <v>2161755</v>
      </c>
      <c r="P43" s="203">
        <f>'A2-FinPerf SC'!J43</f>
        <v>2289298.5449999999</v>
      </c>
      <c r="Q43" s="204">
        <f>'A2-FinPerf SC'!K43</f>
        <v>2417499.2635199996</v>
      </c>
      <c r="R43" s="369"/>
    </row>
    <row r="44" spans="1:18" ht="11.25" customHeight="1" x14ac:dyDescent="0.25">
      <c r="A44" s="1267" t="str">
        <f>'A2-FinPerf SC'!A44</f>
        <v>Water</v>
      </c>
      <c r="B44" s="859"/>
      <c r="C44" s="1606">
        <v>16152505.166666666</v>
      </c>
      <c r="D44" s="1606">
        <v>16152505.166666666</v>
      </c>
      <c r="E44" s="1606">
        <v>16152505.166666666</v>
      </c>
      <c r="F44" s="1606">
        <v>16152505.166666666</v>
      </c>
      <c r="G44" s="1606">
        <v>16152505.166666666</v>
      </c>
      <c r="H44" s="1606">
        <v>16152505.166666666</v>
      </c>
      <c r="I44" s="1606">
        <v>16152505.166666666</v>
      </c>
      <c r="J44" s="1606">
        <v>16152505.166666666</v>
      </c>
      <c r="K44" s="1606">
        <v>16152505.166666666</v>
      </c>
      <c r="L44" s="1606">
        <v>16152505.166666666</v>
      </c>
      <c r="M44" s="1606">
        <v>16152505.166666666</v>
      </c>
      <c r="N44" s="204">
        <f t="shared" si="11"/>
        <v>16152505.166666687</v>
      </c>
      <c r="O44" s="205">
        <f>'A2-FinPerf SC'!I44</f>
        <v>193830062</v>
      </c>
      <c r="P44" s="203">
        <f>'A2-FinPerf SC'!J44</f>
        <v>205266035.65799999</v>
      </c>
      <c r="Q44" s="204">
        <f>'A2-FinPerf SC'!K44</f>
        <v>216760933.65484798</v>
      </c>
      <c r="R44" s="369"/>
    </row>
    <row r="45" spans="1:18" ht="11.25" customHeight="1" x14ac:dyDescent="0.25">
      <c r="A45" s="1267" t="str">
        <f>'A2-FinPerf SC'!A45</f>
        <v>Waste water management</v>
      </c>
      <c r="B45" s="859"/>
      <c r="C45" s="1606">
        <v>1516631.6841666668</v>
      </c>
      <c r="D45" s="1606">
        <v>1516631.6841666668</v>
      </c>
      <c r="E45" s="1606">
        <v>1516631.6841666668</v>
      </c>
      <c r="F45" s="1606">
        <v>1516631.6841666668</v>
      </c>
      <c r="G45" s="1606">
        <v>1516631.6841666668</v>
      </c>
      <c r="H45" s="1606">
        <v>1516631.6841666668</v>
      </c>
      <c r="I45" s="1606">
        <v>1516631.6841666668</v>
      </c>
      <c r="J45" s="1606">
        <v>1516631.6841666668</v>
      </c>
      <c r="K45" s="1606">
        <v>1516631.6841666668</v>
      </c>
      <c r="L45" s="1606">
        <v>1516631.6841666668</v>
      </c>
      <c r="M45" s="1606">
        <v>1516631.6841666668</v>
      </c>
      <c r="N45" s="204">
        <f t="shared" si="11"/>
        <v>1516631.6841666698</v>
      </c>
      <c r="O45" s="205">
        <f>'A2-FinPerf SC'!I45</f>
        <v>18199580.210000001</v>
      </c>
      <c r="P45" s="203">
        <f>'A2-FinPerf SC'!J45</f>
        <v>19273355.442390002</v>
      </c>
      <c r="Q45" s="204">
        <f>'A2-FinPerf SC'!K45</f>
        <v>20352663.347163841</v>
      </c>
      <c r="R45" s="369"/>
    </row>
    <row r="46" spans="1:18" ht="11.25" customHeight="1" x14ac:dyDescent="0.25">
      <c r="A46" s="1267" t="str">
        <f>'A2-FinPerf SC'!A46</f>
        <v>Waste management</v>
      </c>
      <c r="B46" s="859"/>
      <c r="C46" s="1606">
        <v>681427.25</v>
      </c>
      <c r="D46" s="1606">
        <v>681427.25</v>
      </c>
      <c r="E46" s="1606">
        <v>681427.25</v>
      </c>
      <c r="F46" s="1606">
        <v>681427.25</v>
      </c>
      <c r="G46" s="1606">
        <v>681427.25</v>
      </c>
      <c r="H46" s="1606">
        <v>681427.25</v>
      </c>
      <c r="I46" s="1606">
        <v>681427.25</v>
      </c>
      <c r="J46" s="1606">
        <v>681427.25</v>
      </c>
      <c r="K46" s="1606">
        <v>681427.25</v>
      </c>
      <c r="L46" s="1606">
        <v>681427.25</v>
      </c>
      <c r="M46" s="1606">
        <v>681427.25</v>
      </c>
      <c r="N46" s="204">
        <f t="shared" si="11"/>
        <v>681427.25</v>
      </c>
      <c r="O46" s="205">
        <f>'A2-FinPerf SC'!I46</f>
        <v>8177127</v>
      </c>
      <c r="P46" s="203">
        <f>'A2-FinPerf SC'!J46</f>
        <v>8659577.4929999989</v>
      </c>
      <c r="Q46" s="204">
        <f>'A2-FinPerf SC'!K46</f>
        <v>9144513.8326080013</v>
      </c>
      <c r="R46" s="369"/>
    </row>
    <row r="47" spans="1:18" ht="11.25" customHeight="1" x14ac:dyDescent="0.25">
      <c r="A47" s="1266" t="str">
        <f>'A2-FinPerf SC'!A47</f>
        <v>Other</v>
      </c>
      <c r="B47" s="859"/>
      <c r="C47" s="1643"/>
      <c r="D47" s="1641"/>
      <c r="E47" s="1641"/>
      <c r="F47" s="1641"/>
      <c r="G47" s="1641"/>
      <c r="H47" s="1641"/>
      <c r="I47" s="1641"/>
      <c r="J47" s="1641"/>
      <c r="K47" s="1641"/>
      <c r="L47" s="1641"/>
      <c r="M47" s="1641"/>
      <c r="N47" s="219">
        <f t="shared" si="11"/>
        <v>0</v>
      </c>
      <c r="O47" s="220">
        <f>'A2-FinPerf SC'!I47</f>
        <v>0</v>
      </c>
      <c r="P47" s="218">
        <f>'A2-FinPerf SC'!J47</f>
        <v>0</v>
      </c>
      <c r="Q47" s="219">
        <f>'A2-FinPerf SC'!K47</f>
        <v>0</v>
      </c>
      <c r="R47" s="369"/>
    </row>
    <row r="48" spans="1:18" x14ac:dyDescent="0.25">
      <c r="A48" s="265" t="str">
        <f>'A2-FinPerf SC'!A48</f>
        <v>Total Expenditure - Standard</v>
      </c>
      <c r="B48" s="860"/>
      <c r="C48" s="269">
        <f>C28+C32+C38+C42+C47</f>
        <v>52495298.220000006</v>
      </c>
      <c r="D48" s="267">
        <f t="shared" ref="D48:P48" si="13">D28+D32+D38+D42+D47</f>
        <v>52495298.220000006</v>
      </c>
      <c r="E48" s="267">
        <f t="shared" si="13"/>
        <v>52495298.220000006</v>
      </c>
      <c r="F48" s="267">
        <f t="shared" si="13"/>
        <v>52495298.220000006</v>
      </c>
      <c r="G48" s="267">
        <f t="shared" si="13"/>
        <v>52495298.220000006</v>
      </c>
      <c r="H48" s="267">
        <f t="shared" si="13"/>
        <v>52495298.220000006</v>
      </c>
      <c r="I48" s="267">
        <f t="shared" si="13"/>
        <v>52495298.220000006</v>
      </c>
      <c r="J48" s="267">
        <f t="shared" si="13"/>
        <v>52495298.220000006</v>
      </c>
      <c r="K48" s="267">
        <f t="shared" si="13"/>
        <v>52495298.220000006</v>
      </c>
      <c r="L48" s="267">
        <f t="shared" si="13"/>
        <v>52495298.220000006</v>
      </c>
      <c r="M48" s="267">
        <f t="shared" si="13"/>
        <v>52495298.220000006</v>
      </c>
      <c r="N48" s="214">
        <f t="shared" si="13"/>
        <v>52495298.220000051</v>
      </c>
      <c r="O48" s="215">
        <f t="shared" si="13"/>
        <v>629943578.63999999</v>
      </c>
      <c r="P48" s="213">
        <f t="shared" si="13"/>
        <v>667110249.77976</v>
      </c>
      <c r="Q48" s="214">
        <f>Q28+Q32+Q38+Q42+Q47</f>
        <v>704468423.76742649</v>
      </c>
      <c r="R48" s="369"/>
    </row>
    <row r="49" spans="1:18" ht="6" customHeight="1" x14ac:dyDescent="0.25">
      <c r="A49" s="273"/>
      <c r="B49" s="859"/>
      <c r="C49" s="205"/>
      <c r="D49" s="203"/>
      <c r="E49" s="203"/>
      <c r="F49" s="203"/>
      <c r="G49" s="203"/>
      <c r="H49" s="203"/>
      <c r="I49" s="203"/>
      <c r="J49" s="203"/>
      <c r="K49" s="203"/>
      <c r="L49" s="203"/>
      <c r="M49" s="203"/>
      <c r="N49" s="204"/>
      <c r="O49" s="205"/>
      <c r="P49" s="203"/>
      <c r="Q49" s="204"/>
      <c r="R49" s="369"/>
    </row>
    <row r="50" spans="1:18" x14ac:dyDescent="0.25">
      <c r="A50" s="863" t="str">
        <f>'A4-FinPerf RE'!A38&amp;" before assoc."</f>
        <v>Surplus/(Deficit) before assoc.</v>
      </c>
      <c r="B50" s="864"/>
      <c r="C50" s="215">
        <f t="shared" ref="C50:Q50" si="14">C25-C48</f>
        <v>-1738958.5075000077</v>
      </c>
      <c r="D50" s="213">
        <f t="shared" si="14"/>
        <v>-1738958.5075000077</v>
      </c>
      <c r="E50" s="213">
        <f t="shared" si="14"/>
        <v>-1738958.5075000077</v>
      </c>
      <c r="F50" s="213">
        <f t="shared" si="14"/>
        <v>-1738958.5075000077</v>
      </c>
      <c r="G50" s="213">
        <f t="shared" si="14"/>
        <v>-1738958.5075000077</v>
      </c>
      <c r="H50" s="213">
        <f t="shared" si="14"/>
        <v>-1738958.5075000077</v>
      </c>
      <c r="I50" s="213">
        <f t="shared" si="14"/>
        <v>-1738958.5075000077</v>
      </c>
      <c r="J50" s="213">
        <f t="shared" si="14"/>
        <v>-1738958.5075000077</v>
      </c>
      <c r="K50" s="213">
        <f t="shared" si="14"/>
        <v>-1738958.5075000077</v>
      </c>
      <c r="L50" s="213">
        <f t="shared" si="14"/>
        <v>-1738958.5075000077</v>
      </c>
      <c r="M50" s="213">
        <f t="shared" si="14"/>
        <v>-1738958.5075000077</v>
      </c>
      <c r="N50" s="214">
        <f t="shared" si="14"/>
        <v>-1738958.2675000802</v>
      </c>
      <c r="O50" s="215">
        <f t="shared" si="14"/>
        <v>-20867501.850000024</v>
      </c>
      <c r="P50" s="213">
        <f t="shared" si="14"/>
        <v>-22098684.459150076</v>
      </c>
      <c r="Q50" s="214">
        <f t="shared" si="14"/>
        <v>-23336210.788862228</v>
      </c>
      <c r="R50" s="369"/>
    </row>
    <row r="51" spans="1:18" ht="6" customHeight="1" x14ac:dyDescent="0.25">
      <c r="A51" s="273"/>
      <c r="B51" s="859"/>
      <c r="C51" s="205"/>
      <c r="D51" s="203"/>
      <c r="E51" s="203"/>
      <c r="F51" s="203"/>
      <c r="G51" s="203"/>
      <c r="H51" s="203"/>
      <c r="I51" s="203"/>
      <c r="J51" s="203"/>
      <c r="K51" s="203"/>
      <c r="L51" s="203"/>
      <c r="M51" s="203"/>
      <c r="N51" s="204"/>
      <c r="O51" s="205"/>
      <c r="P51" s="203"/>
      <c r="Q51" s="204"/>
      <c r="R51" s="369"/>
    </row>
    <row r="52" spans="1:18" x14ac:dyDescent="0.25">
      <c r="A52" s="523" t="str">
        <f>'A4-FinPerf RE'!A47</f>
        <v>Share of surplus/ (deficit) of associate</v>
      </c>
      <c r="B52" s="871"/>
      <c r="C52" s="1629"/>
      <c r="D52" s="1606"/>
      <c r="E52" s="1606"/>
      <c r="F52" s="1606"/>
      <c r="G52" s="1606"/>
      <c r="H52" s="1606"/>
      <c r="I52" s="1606"/>
      <c r="J52" s="1606"/>
      <c r="K52" s="1606"/>
      <c r="L52" s="1606"/>
      <c r="M52" s="1606"/>
      <c r="N52" s="204">
        <f>O52-SUM(C52:M52)</f>
        <v>0</v>
      </c>
      <c r="O52" s="205">
        <f>'A4-FinPerf RE'!J47</f>
        <v>0</v>
      </c>
      <c r="P52" s="203">
        <f>'A4-FinPerf RE'!K47</f>
        <v>0</v>
      </c>
      <c r="Q52" s="204">
        <f>'A4-FinPerf RE'!L47</f>
        <v>0</v>
      </c>
      <c r="R52" s="369"/>
    </row>
    <row r="53" spans="1:18" x14ac:dyDescent="0.25">
      <c r="A53" s="844" t="str">
        <f>'A4-FinPerf RE'!A38</f>
        <v>Surplus/(Deficit)</v>
      </c>
      <c r="B53" s="872">
        <v>1</v>
      </c>
      <c r="C53" s="353">
        <f>C50+C52</f>
        <v>-1738958.5075000077</v>
      </c>
      <c r="D53" s="227">
        <f t="shared" ref="D53:Q53" si="15">D50+D52</f>
        <v>-1738958.5075000077</v>
      </c>
      <c r="E53" s="227">
        <f t="shared" si="15"/>
        <v>-1738958.5075000077</v>
      </c>
      <c r="F53" s="227">
        <f t="shared" si="15"/>
        <v>-1738958.5075000077</v>
      </c>
      <c r="G53" s="227">
        <f t="shared" si="15"/>
        <v>-1738958.5075000077</v>
      </c>
      <c r="H53" s="227">
        <f t="shared" si="15"/>
        <v>-1738958.5075000077</v>
      </c>
      <c r="I53" s="227">
        <f t="shared" si="15"/>
        <v>-1738958.5075000077</v>
      </c>
      <c r="J53" s="227">
        <f t="shared" si="15"/>
        <v>-1738958.5075000077</v>
      </c>
      <c r="K53" s="227">
        <f t="shared" si="15"/>
        <v>-1738958.5075000077</v>
      </c>
      <c r="L53" s="227">
        <f t="shared" si="15"/>
        <v>-1738958.5075000077</v>
      </c>
      <c r="M53" s="227">
        <f t="shared" si="15"/>
        <v>-1738958.5075000077</v>
      </c>
      <c r="N53" s="352">
        <f t="shared" si="15"/>
        <v>-1738958.2675000802</v>
      </c>
      <c r="O53" s="353">
        <f t="shared" si="15"/>
        <v>-20867501.850000024</v>
      </c>
      <c r="P53" s="227">
        <f t="shared" si="15"/>
        <v>-22098684.459150076</v>
      </c>
      <c r="Q53" s="352">
        <f t="shared" si="15"/>
        <v>-23336210.788862228</v>
      </c>
      <c r="R53" s="369"/>
    </row>
    <row r="54" spans="1:18" x14ac:dyDescent="0.25">
      <c r="A54" s="873" t="str">
        <f>head27a</f>
        <v>References</v>
      </c>
      <c r="B54" s="875"/>
      <c r="C54" s="238"/>
      <c r="D54" s="238"/>
      <c r="E54" s="238"/>
      <c r="F54" s="238"/>
      <c r="G54" s="238"/>
      <c r="H54" s="238"/>
      <c r="I54" s="238"/>
      <c r="J54" s="238"/>
      <c r="K54" s="238"/>
      <c r="L54" s="238"/>
      <c r="M54" s="238"/>
      <c r="N54" s="238"/>
      <c r="O54" s="238"/>
      <c r="P54" s="238"/>
      <c r="Q54" s="238"/>
      <c r="R54" s="369"/>
    </row>
    <row r="55" spans="1:18" x14ac:dyDescent="0.25">
      <c r="A55" s="828" t="s">
        <v>1595</v>
      </c>
    </row>
    <row r="56" spans="1:18" x14ac:dyDescent="0.25">
      <c r="A56" s="436" t="s">
        <v>1509</v>
      </c>
      <c r="B56" s="800"/>
      <c r="O56" s="874">
        <f>O53-'A4-FinPerf RE'!J48</f>
        <v>-1.1920928955078125E-7</v>
      </c>
      <c r="P56" s="874">
        <f>P53-'A4-FinPerf RE'!K48</f>
        <v>-5.9604644775390625E-8</v>
      </c>
      <c r="Q56" s="874">
        <f>Q53-'A4-FinPerf RE'!L48</f>
        <v>2.384185791015625E-7</v>
      </c>
    </row>
  </sheetData>
  <sheetProtection sheet="1" objects="1" scenarios="1"/>
  <customSheetViews>
    <customSheetView guid="{F50C5479-5CC4-4FD7-8319-543D29E829F0}" showGridLines="0" fitToPage="1">
      <pane xSplit="2" ySplit="3" topLeftCell="C34" activePane="bottomRight" state="frozen"/>
      <selection pane="bottomRight" activeCell="F35" sqref="F35"/>
      <pageMargins left="0" right="0" top="0.78740157480314965" bottom="0.59055118110236227" header="0.51181102362204722" footer="0.39370078740157483"/>
      <printOptions horizontalCentered="1"/>
      <pageSetup paperSize="9" scale="78" orientation="landscape" r:id="rId1"/>
      <headerFooter alignWithMargins="0"/>
    </customSheetView>
  </customSheetViews>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78"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indexed="42"/>
    <pageSetUpPr fitToPage="1"/>
  </sheetPr>
  <dimension ref="A1:T47"/>
  <sheetViews>
    <sheetView showGridLines="0" zoomScaleNormal="100" workbookViewId="0">
      <pane xSplit="2" ySplit="3" topLeftCell="C23" activePane="bottomRight" state="frozen"/>
      <selection activeCell="F35" sqref="F35"/>
      <selection pane="topRight" activeCell="F35" sqref="F35"/>
      <selection pane="bottomLeft" activeCell="F35" sqref="F35"/>
      <selection pane="bottomRight" activeCell="G31" sqref="G31"/>
    </sheetView>
  </sheetViews>
  <sheetFormatPr defaultRowHeight="12.75" x14ac:dyDescent="0.25"/>
  <cols>
    <col min="1" max="1" width="30.7109375" style="149" customWidth="1"/>
    <col min="2" max="2" width="3" style="247" customWidth="1"/>
    <col min="3" max="14" width="8.28515625" style="149" customWidth="1"/>
    <col min="15" max="17" width="9.28515625" style="149" customWidth="1"/>
    <col min="18" max="16384" width="9.140625" style="149"/>
  </cols>
  <sheetData>
    <row r="1" spans="1:17" ht="13.5" customHeight="1" x14ac:dyDescent="0.25">
      <c r="A1" s="147" t="str">
        <f>muni&amp;" - "&amp; TableA28</f>
        <v>MP315 Thembisile Hani - Supporting Table SA28 Budgeted monthly capital expenditure (municipal vote)</v>
      </c>
      <c r="B1" s="147"/>
      <c r="C1" s="147"/>
      <c r="D1" s="147"/>
      <c r="E1" s="147"/>
      <c r="F1" s="147"/>
      <c r="G1" s="147"/>
      <c r="H1" s="147"/>
      <c r="I1" s="147"/>
      <c r="J1" s="147"/>
      <c r="K1" s="147"/>
      <c r="L1" s="147"/>
      <c r="M1" s="147"/>
      <c r="N1" s="147"/>
      <c r="O1" s="147"/>
      <c r="P1" s="147"/>
      <c r="Q1" s="147"/>
    </row>
    <row r="2" spans="1:17" ht="27" customHeight="1" x14ac:dyDescent="0.25">
      <c r="A2" s="980" t="str">
        <f>desc</f>
        <v>Description</v>
      </c>
      <c r="B2" s="992" t="str">
        <f>head27</f>
        <v>Ref</v>
      </c>
      <c r="C2" s="2766" t="str">
        <f>Head9</f>
        <v>Budget Year 2015/16</v>
      </c>
      <c r="D2" s="2767"/>
      <c r="E2" s="2767"/>
      <c r="F2" s="2767"/>
      <c r="G2" s="2767"/>
      <c r="H2" s="2767"/>
      <c r="I2" s="2767"/>
      <c r="J2" s="2767"/>
      <c r="K2" s="2767"/>
      <c r="L2" s="2767"/>
      <c r="M2" s="2767"/>
      <c r="N2" s="2767"/>
      <c r="O2" s="2763" t="s">
        <v>1785</v>
      </c>
      <c r="P2" s="2764"/>
      <c r="Q2" s="2765"/>
    </row>
    <row r="3" spans="1:17" ht="25.5" x14ac:dyDescent="0.25">
      <c r="A3" s="987" t="s">
        <v>662</v>
      </c>
      <c r="B3" s="993"/>
      <c r="C3" s="299" t="s">
        <v>720</v>
      </c>
      <c r="D3" s="923" t="s">
        <v>1398</v>
      </c>
      <c r="E3" s="923" t="s">
        <v>1399</v>
      </c>
      <c r="F3" s="923" t="s">
        <v>1400</v>
      </c>
      <c r="G3" s="923" t="s">
        <v>420</v>
      </c>
      <c r="H3" s="923" t="s">
        <v>421</v>
      </c>
      <c r="I3" s="923" t="s">
        <v>703</v>
      </c>
      <c r="J3" s="923" t="s">
        <v>422</v>
      </c>
      <c r="K3" s="923" t="s">
        <v>705</v>
      </c>
      <c r="L3" s="923" t="s">
        <v>706</v>
      </c>
      <c r="M3" s="923" t="s">
        <v>707</v>
      </c>
      <c r="N3" s="388" t="s">
        <v>708</v>
      </c>
      <c r="O3" s="299" t="str">
        <f>Head9</f>
        <v>Budget Year 2015/16</v>
      </c>
      <c r="P3" s="389" t="str">
        <f>Head10</f>
        <v>Budget Year +1 2016/17</v>
      </c>
      <c r="Q3" s="390" t="str">
        <f>Head11</f>
        <v>Budget Year +2 2017/18</v>
      </c>
    </row>
    <row r="4" spans="1:17" x14ac:dyDescent="0.25">
      <c r="A4" s="181" t="s">
        <v>353</v>
      </c>
      <c r="B4" s="989">
        <v>1</v>
      </c>
      <c r="C4" s="205"/>
      <c r="D4" s="203"/>
      <c r="E4" s="203"/>
      <c r="F4" s="203"/>
      <c r="G4" s="203"/>
      <c r="H4" s="203"/>
      <c r="I4" s="203"/>
      <c r="J4" s="203"/>
      <c r="K4" s="203"/>
      <c r="L4" s="203"/>
      <c r="M4" s="203"/>
      <c r="N4" s="202"/>
      <c r="O4" s="205"/>
      <c r="P4" s="203"/>
      <c r="Q4" s="204"/>
    </row>
    <row r="5" spans="1:17" x14ac:dyDescent="0.25">
      <c r="A5" s="1132" t="str">
        <f>'A5-Capex'!A6</f>
        <v>Vote 1 - 100 COUNCIL &amp; GENERAL</v>
      </c>
      <c r="B5" s="859"/>
      <c r="C5" s="1629"/>
      <c r="D5" s="1606"/>
      <c r="E5" s="1606"/>
      <c r="F5" s="1606"/>
      <c r="G5" s="1606"/>
      <c r="H5" s="1606"/>
      <c r="I5" s="1606"/>
      <c r="J5" s="1606"/>
      <c r="K5" s="1606"/>
      <c r="L5" s="1606"/>
      <c r="M5" s="1606"/>
      <c r="N5" s="202">
        <f>O5-SUM(C5:M5)</f>
        <v>0</v>
      </c>
      <c r="O5" s="205">
        <f>'A5-Capex'!J6</f>
        <v>0</v>
      </c>
      <c r="P5" s="203">
        <f>'A5-Capex'!K6</f>
        <v>0</v>
      </c>
      <c r="Q5" s="204">
        <f>'A5-Capex'!L6</f>
        <v>0</v>
      </c>
    </row>
    <row r="6" spans="1:17" x14ac:dyDescent="0.25">
      <c r="A6" s="1132" t="str">
        <f>'A5-Capex'!A7</f>
        <v>Vote 2 - 102 MUNICIPAL MANAGER</v>
      </c>
      <c r="B6" s="859"/>
      <c r="C6" s="1629"/>
      <c r="D6" s="1606"/>
      <c r="E6" s="1606"/>
      <c r="F6" s="1606"/>
      <c r="G6" s="1606"/>
      <c r="H6" s="1606"/>
      <c r="I6" s="1606"/>
      <c r="J6" s="1606"/>
      <c r="K6" s="1606"/>
      <c r="L6" s="1606"/>
      <c r="M6" s="1606"/>
      <c r="N6" s="202">
        <f t="shared" ref="N6:N11" si="0">O6-SUM(C6:M6)</f>
        <v>0</v>
      </c>
      <c r="O6" s="205">
        <f>'A5-Capex'!J7</f>
        <v>0</v>
      </c>
      <c r="P6" s="203">
        <f>'A5-Capex'!K7</f>
        <v>0</v>
      </c>
      <c r="Q6" s="204">
        <f>'A5-Capex'!L7</f>
        <v>0</v>
      </c>
    </row>
    <row r="7" spans="1:17" x14ac:dyDescent="0.25">
      <c r="A7" s="1132" t="str">
        <f>'A5-Capex'!A8</f>
        <v>Vote 3 - 103 PLANNING and DEVELOPMENT</v>
      </c>
      <c r="B7" s="859"/>
      <c r="C7" s="1629"/>
      <c r="D7" s="1606"/>
      <c r="E7" s="1606"/>
      <c r="F7" s="1606"/>
      <c r="G7" s="1606"/>
      <c r="H7" s="1606"/>
      <c r="I7" s="1606"/>
      <c r="J7" s="1606"/>
      <c r="K7" s="1606"/>
      <c r="L7" s="1606"/>
      <c r="M7" s="1606"/>
      <c r="N7" s="202">
        <f t="shared" si="0"/>
        <v>0</v>
      </c>
      <c r="O7" s="205">
        <f>'A5-Capex'!J8</f>
        <v>0</v>
      </c>
      <c r="P7" s="203">
        <f>'A5-Capex'!K8</f>
        <v>0</v>
      </c>
      <c r="Q7" s="204">
        <f>'A5-Capex'!L8</f>
        <v>0</v>
      </c>
    </row>
    <row r="8" spans="1:17" x14ac:dyDescent="0.25">
      <c r="A8" s="1132" t="str">
        <f>'A5-Capex'!A9</f>
        <v>Vote 4 - 104 FINANCE</v>
      </c>
      <c r="B8" s="859"/>
      <c r="C8" s="1629"/>
      <c r="D8" s="1606"/>
      <c r="E8" s="1606"/>
      <c r="F8" s="1606"/>
      <c r="G8" s="1606"/>
      <c r="H8" s="1606"/>
      <c r="I8" s="1606"/>
      <c r="J8" s="1606"/>
      <c r="K8" s="1606"/>
      <c r="L8" s="1606"/>
      <c r="M8" s="1606"/>
      <c r="N8" s="202">
        <f t="shared" si="0"/>
        <v>0</v>
      </c>
      <c r="O8" s="205">
        <f>'A5-Capex'!J9</f>
        <v>0</v>
      </c>
      <c r="P8" s="203">
        <f>'A5-Capex'!K9</f>
        <v>0</v>
      </c>
      <c r="Q8" s="204">
        <f>'A5-Capex'!L9</f>
        <v>0</v>
      </c>
    </row>
    <row r="9" spans="1:17" x14ac:dyDescent="0.25">
      <c r="A9" s="1132" t="str">
        <f>'A5-Capex'!A10</f>
        <v>Vote 5 - 105 TECHNICAL SERVICES</v>
      </c>
      <c r="B9" s="859"/>
      <c r="C9" s="1629"/>
      <c r="D9" s="1606"/>
      <c r="E9" s="1606"/>
      <c r="F9" s="1606"/>
      <c r="G9" s="1606"/>
      <c r="H9" s="1606"/>
      <c r="I9" s="1606"/>
      <c r="J9" s="1606"/>
      <c r="K9" s="1606"/>
      <c r="L9" s="1606"/>
      <c r="M9" s="1606"/>
      <c r="N9" s="202">
        <f t="shared" si="0"/>
        <v>0</v>
      </c>
      <c r="O9" s="205">
        <f>'A5-Capex'!J10</f>
        <v>0</v>
      </c>
      <c r="P9" s="203">
        <f>'A5-Capex'!K10</f>
        <v>0</v>
      </c>
      <c r="Q9" s="204">
        <f>'A5-Capex'!L10</f>
        <v>0</v>
      </c>
    </row>
    <row r="10" spans="1:17" x14ac:dyDescent="0.25">
      <c r="A10" s="1132" t="str">
        <f>'A5-Capex'!A11</f>
        <v>Vote 6 - 500 PMU</v>
      </c>
      <c r="B10" s="859"/>
      <c r="C10" s="1629"/>
      <c r="D10" s="1606"/>
      <c r="E10" s="1606"/>
      <c r="F10" s="1606"/>
      <c r="G10" s="1606"/>
      <c r="H10" s="1606"/>
      <c r="I10" s="1606"/>
      <c r="J10" s="1606"/>
      <c r="K10" s="1606"/>
      <c r="L10" s="1606"/>
      <c r="M10" s="1606"/>
      <c r="N10" s="202">
        <f t="shared" si="0"/>
        <v>0</v>
      </c>
      <c r="O10" s="205">
        <f>'A5-Capex'!J11</f>
        <v>0</v>
      </c>
      <c r="P10" s="203">
        <f>'A5-Capex'!K11</f>
        <v>0</v>
      </c>
      <c r="Q10" s="204">
        <f>'A5-Capex'!L11</f>
        <v>0</v>
      </c>
    </row>
    <row r="11" spans="1:17" x14ac:dyDescent="0.25">
      <c r="A11" s="1132" t="str">
        <f>'A5-Capex'!A12</f>
        <v>Vote 7 - 520 WASTE MANAGEMENT</v>
      </c>
      <c r="B11" s="859"/>
      <c r="C11" s="1629"/>
      <c r="D11" s="1606"/>
      <c r="E11" s="1606"/>
      <c r="F11" s="1606"/>
      <c r="G11" s="1606"/>
      <c r="H11" s="1606"/>
      <c r="I11" s="1606"/>
      <c r="J11" s="1606"/>
      <c r="K11" s="1606"/>
      <c r="L11" s="1606"/>
      <c r="M11" s="1606"/>
      <c r="N11" s="202">
        <f t="shared" si="0"/>
        <v>0</v>
      </c>
      <c r="O11" s="205">
        <f>'A5-Capex'!J12</f>
        <v>0</v>
      </c>
      <c r="P11" s="203">
        <f>'A5-Capex'!K12</f>
        <v>0</v>
      </c>
      <c r="Q11" s="204">
        <f>'A5-Capex'!L12</f>
        <v>0</v>
      </c>
    </row>
    <row r="12" spans="1:17" x14ac:dyDescent="0.25">
      <c r="A12" s="1132" t="str">
        <f>'A5-Capex'!A13</f>
        <v>Vote 8 - 530 ELECTRICITY SERVICES</v>
      </c>
      <c r="B12" s="859"/>
      <c r="C12" s="1629"/>
      <c r="D12" s="1606"/>
      <c r="E12" s="1606"/>
      <c r="F12" s="1606"/>
      <c r="G12" s="1606"/>
      <c r="H12" s="1606"/>
      <c r="I12" s="1606"/>
      <c r="J12" s="1606"/>
      <c r="K12" s="1606"/>
      <c r="L12" s="1606"/>
      <c r="M12" s="1606"/>
      <c r="N12" s="202">
        <f>O12-SUM(C12:M12)</f>
        <v>0</v>
      </c>
      <c r="O12" s="205">
        <f>'A5-Capex'!J13</f>
        <v>0</v>
      </c>
      <c r="P12" s="203">
        <f>'A5-Capex'!K13</f>
        <v>0</v>
      </c>
      <c r="Q12" s="204">
        <f>'A5-Capex'!L13</f>
        <v>0</v>
      </c>
    </row>
    <row r="13" spans="1:17" x14ac:dyDescent="0.25">
      <c r="A13" s="1132" t="str">
        <f>'A5-Capex'!A14</f>
        <v>Vote 9 - 540 WATER SERVICES</v>
      </c>
      <c r="B13" s="859"/>
      <c r="C13" s="1629"/>
      <c r="D13" s="1606"/>
      <c r="E13" s="1606"/>
      <c r="F13" s="1606"/>
      <c r="G13" s="1606"/>
      <c r="H13" s="1606"/>
      <c r="I13" s="1606"/>
      <c r="J13" s="1606"/>
      <c r="K13" s="1606"/>
      <c r="L13" s="1606"/>
      <c r="M13" s="1606"/>
      <c r="N13" s="202">
        <f>O13-SUM(C13:M13)</f>
        <v>0</v>
      </c>
      <c r="O13" s="205">
        <f>'A5-Capex'!J14</f>
        <v>0</v>
      </c>
      <c r="P13" s="203">
        <f>'A5-Capex'!K14</f>
        <v>0</v>
      </c>
      <c r="Q13" s="204">
        <f>'A5-Capex'!L14</f>
        <v>0</v>
      </c>
    </row>
    <row r="14" spans="1:17" x14ac:dyDescent="0.25">
      <c r="A14" s="1132" t="str">
        <f>'A5-Capex'!A15</f>
        <v>Vote 10 - 550 ROADS &amp; STORMWATER</v>
      </c>
      <c r="B14" s="859"/>
      <c r="C14" s="1629"/>
      <c r="D14" s="1606"/>
      <c r="E14" s="1606"/>
      <c r="F14" s="1606"/>
      <c r="G14" s="1606"/>
      <c r="H14" s="1606"/>
      <c r="I14" s="1606"/>
      <c r="J14" s="1606"/>
      <c r="K14" s="1606"/>
      <c r="L14" s="1606"/>
      <c r="M14" s="1606"/>
      <c r="N14" s="202">
        <f t="shared" ref="N14:N19" si="1">O14-SUM(C14:M14)</f>
        <v>0</v>
      </c>
      <c r="O14" s="205">
        <f>'A5-Capex'!J15</f>
        <v>0</v>
      </c>
      <c r="P14" s="203">
        <f>'A5-Capex'!K15</f>
        <v>0</v>
      </c>
      <c r="Q14" s="204">
        <f>'A5-Capex'!L15</f>
        <v>0</v>
      </c>
    </row>
    <row r="15" spans="1:17" x14ac:dyDescent="0.25">
      <c r="A15" s="1132" t="str">
        <f>'A5-Capex'!A16</f>
        <v>Vote 11 - 560 SANITATION SERVICES</v>
      </c>
      <c r="B15" s="859"/>
      <c r="C15" s="1629"/>
      <c r="D15" s="1606"/>
      <c r="E15" s="1606"/>
      <c r="F15" s="1606"/>
      <c r="G15" s="1606"/>
      <c r="H15" s="1606"/>
      <c r="I15" s="1606"/>
      <c r="J15" s="1606"/>
      <c r="K15" s="1606"/>
      <c r="L15" s="1606"/>
      <c r="M15" s="1606"/>
      <c r="N15" s="202">
        <f t="shared" si="1"/>
        <v>0</v>
      </c>
      <c r="O15" s="205">
        <f>'A5-Capex'!J16</f>
        <v>0</v>
      </c>
      <c r="P15" s="203">
        <f>'A5-Capex'!K16</f>
        <v>0</v>
      </c>
      <c r="Q15" s="204">
        <f>'A5-Capex'!L16</f>
        <v>0</v>
      </c>
    </row>
    <row r="16" spans="1:17" x14ac:dyDescent="0.25">
      <c r="A16" s="1132" t="str">
        <f>'A5-Capex'!A17</f>
        <v>Vote 12 - 106 CORPORATE SERVICES</v>
      </c>
      <c r="B16" s="859"/>
      <c r="C16" s="1629"/>
      <c r="D16" s="1606"/>
      <c r="E16" s="1606"/>
      <c r="F16" s="1606"/>
      <c r="G16" s="1606"/>
      <c r="H16" s="1606"/>
      <c r="I16" s="1606"/>
      <c r="J16" s="1606"/>
      <c r="K16" s="1606"/>
      <c r="L16" s="1606"/>
      <c r="M16" s="1606"/>
      <c r="N16" s="202">
        <f t="shared" si="1"/>
        <v>0</v>
      </c>
      <c r="O16" s="205">
        <f>'A5-Capex'!J17</f>
        <v>0</v>
      </c>
      <c r="P16" s="203">
        <f>'A5-Capex'!K17</f>
        <v>0</v>
      </c>
      <c r="Q16" s="204">
        <f>'A5-Capex'!L17</f>
        <v>0</v>
      </c>
    </row>
    <row r="17" spans="1:17" x14ac:dyDescent="0.25">
      <c r="A17" s="1132" t="str">
        <f>'A5-Capex'!A18</f>
        <v>Vote 13 - 107 COMMUNITY SERVICES</v>
      </c>
      <c r="B17" s="859"/>
      <c r="C17" s="1629"/>
      <c r="D17" s="1606"/>
      <c r="E17" s="1606"/>
      <c r="F17" s="1606"/>
      <c r="G17" s="1606"/>
      <c r="H17" s="1606"/>
      <c r="I17" s="1606"/>
      <c r="J17" s="1606"/>
      <c r="K17" s="1606"/>
      <c r="L17" s="1606"/>
      <c r="M17" s="1606"/>
      <c r="N17" s="202">
        <f t="shared" si="1"/>
        <v>0</v>
      </c>
      <c r="O17" s="205">
        <f>'A5-Capex'!J18</f>
        <v>0</v>
      </c>
      <c r="P17" s="203">
        <f>'A5-Capex'!K18</f>
        <v>0</v>
      </c>
      <c r="Q17" s="204">
        <f>'A5-Capex'!L18</f>
        <v>0</v>
      </c>
    </row>
    <row r="18" spans="1:17" x14ac:dyDescent="0.25">
      <c r="A18" s="1132" t="str">
        <f>'A5-Capex'!A19</f>
        <v>Vote 14 - 108 PUBLIC SAFETY &amp; ROADS</v>
      </c>
      <c r="B18" s="859"/>
      <c r="C18" s="1629"/>
      <c r="D18" s="1606"/>
      <c r="E18" s="1606"/>
      <c r="F18" s="1606"/>
      <c r="G18" s="1606"/>
      <c r="H18" s="1606"/>
      <c r="I18" s="1606"/>
      <c r="J18" s="1606"/>
      <c r="K18" s="1606"/>
      <c r="L18" s="1606"/>
      <c r="M18" s="1606"/>
      <c r="N18" s="202">
        <f t="shared" si="1"/>
        <v>0</v>
      </c>
      <c r="O18" s="205">
        <f>'A5-Capex'!J19</f>
        <v>0</v>
      </c>
      <c r="P18" s="203">
        <f>'A5-Capex'!K19</f>
        <v>0</v>
      </c>
      <c r="Q18" s="204">
        <f>'A5-Capex'!L19</f>
        <v>0</v>
      </c>
    </row>
    <row r="19" spans="1:17" x14ac:dyDescent="0.25">
      <c r="A19" s="1132" t="str">
        <f>'A5-Capex'!A20</f>
        <v>Vote 15 - 300 SPORTS,RECREATION ARTS,CULTURE AND PROPERTY SERVICES</v>
      </c>
      <c r="B19" s="859"/>
      <c r="C19" s="1629"/>
      <c r="D19" s="1606"/>
      <c r="E19" s="1606"/>
      <c r="F19" s="1606"/>
      <c r="G19" s="1606"/>
      <c r="H19" s="1606"/>
      <c r="I19" s="1606"/>
      <c r="J19" s="1606"/>
      <c r="K19" s="1606"/>
      <c r="L19" s="1606"/>
      <c r="M19" s="1606"/>
      <c r="N19" s="202">
        <f t="shared" si="1"/>
        <v>0</v>
      </c>
      <c r="O19" s="205">
        <f>'A5-Capex'!J20</f>
        <v>0</v>
      </c>
      <c r="P19" s="203">
        <f>'A5-Capex'!K20</f>
        <v>0</v>
      </c>
      <c r="Q19" s="204">
        <f>'A5-Capex'!L20</f>
        <v>0</v>
      </c>
    </row>
    <row r="20" spans="1:17" x14ac:dyDescent="0.25">
      <c r="A20" s="197" t="s">
        <v>196</v>
      </c>
      <c r="B20" s="1283">
        <v>2</v>
      </c>
      <c r="C20" s="269">
        <f>SUM(C5:C19)</f>
        <v>0</v>
      </c>
      <c r="D20" s="267">
        <f t="shared" ref="D20:Q20" si="2">SUM(D5:D19)</f>
        <v>0</v>
      </c>
      <c r="E20" s="267">
        <f t="shared" si="2"/>
        <v>0</v>
      </c>
      <c r="F20" s="267">
        <f t="shared" si="2"/>
        <v>0</v>
      </c>
      <c r="G20" s="267">
        <f t="shared" si="2"/>
        <v>0</v>
      </c>
      <c r="H20" s="267">
        <f t="shared" si="2"/>
        <v>0</v>
      </c>
      <c r="I20" s="267">
        <f t="shared" si="2"/>
        <v>0</v>
      </c>
      <c r="J20" s="267">
        <f t="shared" si="2"/>
        <v>0</v>
      </c>
      <c r="K20" s="267">
        <f t="shared" si="2"/>
        <v>0</v>
      </c>
      <c r="L20" s="267">
        <f t="shared" si="2"/>
        <v>0</v>
      </c>
      <c r="M20" s="267">
        <f>SUM(M5:M19)</f>
        <v>0</v>
      </c>
      <c r="N20" s="266">
        <f t="shared" si="2"/>
        <v>0</v>
      </c>
      <c r="O20" s="269">
        <f t="shared" si="2"/>
        <v>0</v>
      </c>
      <c r="P20" s="267">
        <f t="shared" si="2"/>
        <v>0</v>
      </c>
      <c r="Q20" s="268">
        <f t="shared" si="2"/>
        <v>0</v>
      </c>
    </row>
    <row r="21" spans="1:17" ht="3.75" customHeight="1" x14ac:dyDescent="0.25">
      <c r="A21" s="1281"/>
      <c r="B21" s="1282"/>
      <c r="C21" s="394"/>
      <c r="D21" s="393"/>
      <c r="E21" s="393"/>
      <c r="F21" s="393"/>
      <c r="G21" s="393"/>
      <c r="H21" s="393"/>
      <c r="I21" s="393"/>
      <c r="J21" s="393"/>
      <c r="K21" s="393"/>
      <c r="L21" s="393"/>
      <c r="M21" s="393"/>
      <c r="N21" s="395"/>
      <c r="O21" s="394"/>
      <c r="P21" s="393"/>
      <c r="Q21" s="345"/>
    </row>
    <row r="22" spans="1:17" x14ac:dyDescent="0.25">
      <c r="A22" s="181" t="s">
        <v>922</v>
      </c>
      <c r="B22" s="989"/>
      <c r="C22" s="205"/>
      <c r="D22" s="203"/>
      <c r="E22" s="203"/>
      <c r="F22" s="203"/>
      <c r="G22" s="203"/>
      <c r="H22" s="203"/>
      <c r="I22" s="203"/>
      <c r="J22" s="203"/>
      <c r="K22" s="203"/>
      <c r="L22" s="203"/>
      <c r="M22" s="203"/>
      <c r="N22" s="202"/>
      <c r="O22" s="205"/>
      <c r="P22" s="203"/>
      <c r="Q22" s="204"/>
    </row>
    <row r="23" spans="1:17" x14ac:dyDescent="0.25">
      <c r="A23" s="1132" t="str">
        <f>'A5-Capex'!A24</f>
        <v>Vote 1 - 100 COUNCIL &amp; GENERAL</v>
      </c>
      <c r="B23" s="859"/>
      <c r="C23" s="1629"/>
      <c r="D23" s="1606"/>
      <c r="E23" s="1606"/>
      <c r="F23" s="1606"/>
      <c r="G23" s="1606"/>
      <c r="H23" s="1606"/>
      <c r="I23" s="1606"/>
      <c r="J23" s="1606"/>
      <c r="K23" s="1606"/>
      <c r="L23" s="1606"/>
      <c r="M23" s="1606"/>
      <c r="N23" s="202">
        <f>O23-SUM(C23:M23)</f>
        <v>0</v>
      </c>
      <c r="O23" s="205">
        <f>'A5-Capex'!J24</f>
        <v>0</v>
      </c>
      <c r="P23" s="203">
        <f>'A5-Capex'!K24</f>
        <v>0</v>
      </c>
      <c r="Q23" s="204">
        <f>'A5-Capex'!L24</f>
        <v>0</v>
      </c>
    </row>
    <row r="24" spans="1:17" x14ac:dyDescent="0.25">
      <c r="A24" s="1132" t="str">
        <f>'A5-Capex'!A25</f>
        <v>Vote 2 - 102 MUNICIPAL MANAGER</v>
      </c>
      <c r="B24" s="859"/>
      <c r="C24" s="1629"/>
      <c r="D24" s="1606"/>
      <c r="E24" s="1606"/>
      <c r="F24" s="1606"/>
      <c r="G24" s="1606"/>
      <c r="H24" s="1606"/>
      <c r="I24" s="1606"/>
      <c r="J24" s="1606"/>
      <c r="K24" s="1606"/>
      <c r="L24" s="1606"/>
      <c r="M24" s="1606"/>
      <c r="N24" s="202">
        <f t="shared" ref="N24:N29" si="3">O24-SUM(C24:M24)</f>
        <v>0</v>
      </c>
      <c r="O24" s="205">
        <f>'A5-Capex'!J25</f>
        <v>0</v>
      </c>
      <c r="P24" s="203">
        <f>'A5-Capex'!K25</f>
        <v>0</v>
      </c>
      <c r="Q24" s="204">
        <f>'A5-Capex'!L25</f>
        <v>0</v>
      </c>
    </row>
    <row r="25" spans="1:17" x14ac:dyDescent="0.25">
      <c r="A25" s="1132" t="str">
        <f>'A5-Capex'!A26</f>
        <v>Vote 3 - 103 PLANNING and DEVELOPMENT</v>
      </c>
      <c r="B25" s="859"/>
      <c r="C25" s="1629"/>
      <c r="D25" s="1606"/>
      <c r="E25" s="1606"/>
      <c r="F25" s="1606"/>
      <c r="G25" s="1606"/>
      <c r="H25" s="1606"/>
      <c r="I25" s="1606"/>
      <c r="J25" s="1606"/>
      <c r="K25" s="1606"/>
      <c r="L25" s="1606"/>
      <c r="M25" s="1606"/>
      <c r="N25" s="202">
        <f t="shared" si="3"/>
        <v>0</v>
      </c>
      <c r="O25" s="205">
        <f>'A5-Capex'!J26</f>
        <v>0</v>
      </c>
      <c r="P25" s="203">
        <f>'A5-Capex'!K26</f>
        <v>0</v>
      </c>
      <c r="Q25" s="204">
        <f>'A5-Capex'!L26</f>
        <v>0</v>
      </c>
    </row>
    <row r="26" spans="1:17" x14ac:dyDescent="0.25">
      <c r="A26" s="1132" t="str">
        <f>'A5-Capex'!A27</f>
        <v>Vote 4 - 104 FINANCE</v>
      </c>
      <c r="B26" s="859"/>
      <c r="C26" s="1629"/>
      <c r="D26" s="1606"/>
      <c r="E26" s="1606"/>
      <c r="F26" s="1606"/>
      <c r="G26" s="1606"/>
      <c r="H26" s="1606"/>
      <c r="I26" s="1606"/>
      <c r="J26" s="1606"/>
      <c r="K26" s="1606"/>
      <c r="L26" s="1606"/>
      <c r="M26" s="1606"/>
      <c r="N26" s="202">
        <f t="shared" si="3"/>
        <v>0</v>
      </c>
      <c r="O26" s="205">
        <f>'A5-Capex'!J27</f>
        <v>0</v>
      </c>
      <c r="P26" s="203">
        <f>'A5-Capex'!K27</f>
        <v>0</v>
      </c>
      <c r="Q26" s="204">
        <f>'A5-Capex'!L27</f>
        <v>0</v>
      </c>
    </row>
    <row r="27" spans="1:17" x14ac:dyDescent="0.25">
      <c r="A27" s="1132" t="str">
        <f>'A5-Capex'!A28</f>
        <v>Vote 5 - 105 TECHNICAL SERVICES</v>
      </c>
      <c r="B27" s="859"/>
      <c r="C27" s="1606">
        <v>9595761.25</v>
      </c>
      <c r="D27" s="1606">
        <v>9595761.25</v>
      </c>
      <c r="E27" s="1606">
        <v>9595761.25</v>
      </c>
      <c r="F27" s="1606">
        <v>9595761.25</v>
      </c>
      <c r="G27" s="1606">
        <v>9595761.25</v>
      </c>
      <c r="H27" s="1606">
        <v>9595761.25</v>
      </c>
      <c r="I27" s="1606">
        <v>9595761.25</v>
      </c>
      <c r="J27" s="1606">
        <v>9595761.25</v>
      </c>
      <c r="K27" s="1606">
        <v>9595761.25</v>
      </c>
      <c r="L27" s="1606">
        <v>9595761.25</v>
      </c>
      <c r="M27" s="1606">
        <v>9595761.25</v>
      </c>
      <c r="N27" s="202">
        <f t="shared" si="3"/>
        <v>9595761.25</v>
      </c>
      <c r="O27" s="205">
        <f>'A5-Capex'!J28</f>
        <v>115149135</v>
      </c>
      <c r="P27" s="203">
        <f>'A5-Capex'!K28</f>
        <v>121942933.96500003</v>
      </c>
      <c r="Q27" s="204">
        <f>'A5-Capex'!L28</f>
        <v>128771738.26704007</v>
      </c>
    </row>
    <row r="28" spans="1:17" x14ac:dyDescent="0.25">
      <c r="A28" s="1132" t="str">
        <f>'A5-Capex'!A29</f>
        <v>Vote 6 - 500 PMU</v>
      </c>
      <c r="B28" s="859"/>
      <c r="C28" s="1629"/>
      <c r="D28" s="1606"/>
      <c r="E28" s="1606">
        <v>90000</v>
      </c>
      <c r="F28" s="1606"/>
      <c r="G28" s="1606"/>
      <c r="H28" s="1606"/>
      <c r="I28" s="1606"/>
      <c r="J28" s="1606"/>
      <c r="K28" s="1606"/>
      <c r="L28" s="1606"/>
      <c r="M28" s="1606"/>
      <c r="N28" s="202">
        <f t="shared" si="3"/>
        <v>0</v>
      </c>
      <c r="O28" s="205">
        <f>'A5-Capex'!J29</f>
        <v>90000</v>
      </c>
      <c r="P28" s="203">
        <f>'A5-Capex'!K29</f>
        <v>95310</v>
      </c>
      <c r="Q28" s="204">
        <f>'A5-Capex'!L29</f>
        <v>100647.36</v>
      </c>
    </row>
    <row r="29" spans="1:17" x14ac:dyDescent="0.25">
      <c r="A29" s="1132" t="str">
        <f>'A5-Capex'!A30</f>
        <v>Vote 7 - 520 WASTE MANAGEMENT</v>
      </c>
      <c r="B29" s="859"/>
      <c r="C29" s="1629"/>
      <c r="D29" s="1606"/>
      <c r="E29" s="1606"/>
      <c r="F29" s="1606"/>
      <c r="G29" s="1606"/>
      <c r="H29" s="1606"/>
      <c r="I29" s="1606"/>
      <c r="J29" s="1606"/>
      <c r="K29" s="1606"/>
      <c r="L29" s="1606"/>
      <c r="M29" s="1606"/>
      <c r="N29" s="202">
        <f t="shared" si="3"/>
        <v>0</v>
      </c>
      <c r="O29" s="205">
        <f>'A5-Capex'!J30</f>
        <v>0</v>
      </c>
      <c r="P29" s="203">
        <f>'A5-Capex'!K30</f>
        <v>0</v>
      </c>
      <c r="Q29" s="204">
        <f>'A5-Capex'!L30</f>
        <v>0</v>
      </c>
    </row>
    <row r="30" spans="1:17" x14ac:dyDescent="0.25">
      <c r="A30" s="1132" t="str">
        <f>'A5-Capex'!A31</f>
        <v>Vote 8 - 530 ELECTRICITY SERVICES</v>
      </c>
      <c r="B30" s="859"/>
      <c r="C30" s="1629"/>
      <c r="D30" s="1606"/>
      <c r="E30" s="1606"/>
      <c r="F30" s="1606"/>
      <c r="G30" s="1606">
        <f>O30</f>
        <v>1100000</v>
      </c>
      <c r="H30" s="1606"/>
      <c r="I30" s="1606"/>
      <c r="J30" s="1606"/>
      <c r="K30" s="1606"/>
      <c r="L30" s="1606"/>
      <c r="M30" s="1606"/>
      <c r="N30" s="202">
        <f>O30-SUM(C30:M30)</f>
        <v>0</v>
      </c>
      <c r="O30" s="205">
        <f>'A5-Capex'!J31</f>
        <v>1100000</v>
      </c>
      <c r="P30" s="203">
        <f>'A5-Capex'!K31</f>
        <v>1164900</v>
      </c>
      <c r="Q30" s="204">
        <f>'A5-Capex'!L31</f>
        <v>1230134.4000000001</v>
      </c>
    </row>
    <row r="31" spans="1:17" x14ac:dyDescent="0.25">
      <c r="A31" s="1132" t="str">
        <f>'A5-Capex'!A32</f>
        <v>Vote 9 - 540 WATER SERVICES</v>
      </c>
      <c r="B31" s="859"/>
      <c r="C31" s="1629"/>
      <c r="D31" s="1606"/>
      <c r="E31" s="1606"/>
      <c r="F31" s="1606"/>
      <c r="G31" s="1606"/>
      <c r="H31" s="1606"/>
      <c r="I31" s="1606"/>
      <c r="J31" s="1606"/>
      <c r="K31" s="1606"/>
      <c r="L31" s="1606"/>
      <c r="M31" s="1606"/>
      <c r="N31" s="202">
        <f>O31-SUM(C31:M31)</f>
        <v>0</v>
      </c>
      <c r="O31" s="205">
        <f>'A5-Capex'!J32</f>
        <v>0</v>
      </c>
      <c r="P31" s="203">
        <f>'A5-Capex'!K32</f>
        <v>0</v>
      </c>
      <c r="Q31" s="204">
        <f>'A5-Capex'!L32</f>
        <v>0</v>
      </c>
    </row>
    <row r="32" spans="1:17" x14ac:dyDescent="0.25">
      <c r="A32" s="1132" t="str">
        <f>'A5-Capex'!A33</f>
        <v>Vote 10 - 550 ROADS &amp; STORMWATER</v>
      </c>
      <c r="B32" s="859"/>
      <c r="C32" s="1629"/>
      <c r="D32" s="1606"/>
      <c r="E32" s="1606"/>
      <c r="F32" s="1606"/>
      <c r="G32" s="1606"/>
      <c r="H32" s="1606"/>
      <c r="I32" s="1606"/>
      <c r="J32" s="1606"/>
      <c r="K32" s="1606"/>
      <c r="L32" s="1606"/>
      <c r="M32" s="1606"/>
      <c r="N32" s="202">
        <f t="shared" ref="N32:N37" si="4">O32-SUM(C32:M32)</f>
        <v>0</v>
      </c>
      <c r="O32" s="205">
        <f>'A5-Capex'!J33</f>
        <v>0</v>
      </c>
      <c r="P32" s="203">
        <f>'A5-Capex'!K33</f>
        <v>0</v>
      </c>
      <c r="Q32" s="204">
        <f>'A5-Capex'!L33</f>
        <v>0</v>
      </c>
    </row>
    <row r="33" spans="1:20" x14ac:dyDescent="0.25">
      <c r="A33" s="1132" t="str">
        <f>'A5-Capex'!A34</f>
        <v>Vote 11 - 560 SANITATION SERVICES</v>
      </c>
      <c r="B33" s="859"/>
      <c r="C33" s="1629"/>
      <c r="D33" s="1606"/>
      <c r="E33" s="1606"/>
      <c r="F33" s="1606"/>
      <c r="G33" s="1606"/>
      <c r="H33" s="1606"/>
      <c r="I33" s="1606"/>
      <c r="J33" s="1606"/>
      <c r="K33" s="1606"/>
      <c r="L33" s="1606"/>
      <c r="M33" s="1606"/>
      <c r="N33" s="202">
        <f t="shared" si="4"/>
        <v>0</v>
      </c>
      <c r="O33" s="205">
        <f>'A5-Capex'!J34</f>
        <v>0</v>
      </c>
      <c r="P33" s="203">
        <f>'A5-Capex'!K34</f>
        <v>0</v>
      </c>
      <c r="Q33" s="204">
        <f>'A5-Capex'!L34</f>
        <v>0</v>
      </c>
    </row>
    <row r="34" spans="1:20" x14ac:dyDescent="0.25">
      <c r="A34" s="1132" t="str">
        <f>'A5-Capex'!A35</f>
        <v>Vote 12 - 106 CORPORATE SERVICES</v>
      </c>
      <c r="B34" s="859"/>
      <c r="C34" s="1629"/>
      <c r="D34" s="1606"/>
      <c r="E34" s="1606"/>
      <c r="F34" s="1606"/>
      <c r="G34" s="1606"/>
      <c r="H34" s="1606"/>
      <c r="I34" s="1606"/>
      <c r="J34" s="1606"/>
      <c r="K34" s="1606"/>
      <c r="L34" s="1606"/>
      <c r="M34" s="1606"/>
      <c r="N34" s="202">
        <f t="shared" si="4"/>
        <v>0</v>
      </c>
      <c r="O34" s="205">
        <f>'A5-Capex'!J35</f>
        <v>0</v>
      </c>
      <c r="P34" s="203">
        <f>'A5-Capex'!K35</f>
        <v>0</v>
      </c>
      <c r="Q34" s="204">
        <f>'A5-Capex'!L35</f>
        <v>0</v>
      </c>
    </row>
    <row r="35" spans="1:20" x14ac:dyDescent="0.25">
      <c r="A35" s="1132" t="str">
        <f>'A5-Capex'!A36</f>
        <v>Vote 13 - 107 COMMUNITY SERVICES</v>
      </c>
      <c r="B35" s="859"/>
      <c r="C35" s="1629"/>
      <c r="D35" s="1606"/>
      <c r="E35" s="1606"/>
      <c r="F35" s="1606"/>
      <c r="G35" s="1606"/>
      <c r="H35" s="1606"/>
      <c r="I35" s="1606"/>
      <c r="J35" s="1606"/>
      <c r="K35" s="1606"/>
      <c r="L35" s="1606"/>
      <c r="M35" s="1606"/>
      <c r="N35" s="202">
        <f t="shared" si="4"/>
        <v>0</v>
      </c>
      <c r="O35" s="205">
        <f>'A5-Capex'!J36</f>
        <v>0</v>
      </c>
      <c r="P35" s="203">
        <f>'A5-Capex'!K36</f>
        <v>0</v>
      </c>
      <c r="Q35" s="204">
        <f>'A5-Capex'!L36</f>
        <v>0</v>
      </c>
    </row>
    <row r="36" spans="1:20" x14ac:dyDescent="0.25">
      <c r="A36" s="1132" t="str">
        <f>'A5-Capex'!A37</f>
        <v>Vote 14 - 108 PUBLIC SAFETY &amp; ROADS</v>
      </c>
      <c r="B36" s="859"/>
      <c r="C36" s="1629"/>
      <c r="D36" s="1606"/>
      <c r="E36" s="1606"/>
      <c r="F36" s="1606"/>
      <c r="G36" s="1606"/>
      <c r="H36" s="1606"/>
      <c r="I36" s="1606"/>
      <c r="J36" s="1606"/>
      <c r="K36" s="1606"/>
      <c r="L36" s="1606"/>
      <c r="M36" s="1606"/>
      <c r="N36" s="202">
        <f t="shared" si="4"/>
        <v>0</v>
      </c>
      <c r="O36" s="205">
        <f>'A5-Capex'!J37</f>
        <v>0</v>
      </c>
      <c r="P36" s="203">
        <f>'A5-Capex'!K37</f>
        <v>0</v>
      </c>
      <c r="Q36" s="204">
        <f>'A5-Capex'!L37</f>
        <v>0</v>
      </c>
    </row>
    <row r="37" spans="1:20" x14ac:dyDescent="0.25">
      <c r="A37" s="1132" t="str">
        <f>'A5-Capex'!A38</f>
        <v>Vote 15 - 300 SPORTS,RECREATION ARTS,CULTURE AND PROPERTY SERVICES</v>
      </c>
      <c r="B37" s="859"/>
      <c r="C37" s="1629"/>
      <c r="D37" s="1606"/>
      <c r="E37" s="1606"/>
      <c r="F37" s="1606"/>
      <c r="G37" s="1606"/>
      <c r="H37" s="1606"/>
      <c r="I37" s="1606"/>
      <c r="J37" s="1606"/>
      <c r="K37" s="1606"/>
      <c r="L37" s="1606"/>
      <c r="M37" s="1606"/>
      <c r="N37" s="202">
        <f t="shared" si="4"/>
        <v>0</v>
      </c>
      <c r="O37" s="205">
        <f>'A5-Capex'!J38</f>
        <v>0</v>
      </c>
      <c r="P37" s="203">
        <f>'A5-Capex'!K38</f>
        <v>0</v>
      </c>
      <c r="Q37" s="204">
        <f>'A5-Capex'!L38</f>
        <v>0</v>
      </c>
    </row>
    <row r="38" spans="1:20" x14ac:dyDescent="0.25">
      <c r="A38" s="197" t="s">
        <v>1317</v>
      </c>
      <c r="B38" s="1283">
        <v>2</v>
      </c>
      <c r="C38" s="269">
        <f t="shared" ref="C38:Q38" si="5">SUM(C23:C37)</f>
        <v>9595761.25</v>
      </c>
      <c r="D38" s="267">
        <f t="shared" si="5"/>
        <v>9595761.25</v>
      </c>
      <c r="E38" s="267">
        <f t="shared" si="5"/>
        <v>9685761.25</v>
      </c>
      <c r="F38" s="267">
        <f t="shared" si="5"/>
        <v>9595761.25</v>
      </c>
      <c r="G38" s="267">
        <f t="shared" si="5"/>
        <v>10695761.25</v>
      </c>
      <c r="H38" s="267">
        <f t="shared" si="5"/>
        <v>9595761.25</v>
      </c>
      <c r="I38" s="267">
        <f t="shared" si="5"/>
        <v>9595761.25</v>
      </c>
      <c r="J38" s="267">
        <f t="shared" si="5"/>
        <v>9595761.25</v>
      </c>
      <c r="K38" s="267">
        <f t="shared" si="5"/>
        <v>9595761.25</v>
      </c>
      <c r="L38" s="267">
        <f t="shared" si="5"/>
        <v>9595761.25</v>
      </c>
      <c r="M38" s="267">
        <f t="shared" si="5"/>
        <v>9595761.25</v>
      </c>
      <c r="N38" s="266">
        <f t="shared" si="5"/>
        <v>9595761.25</v>
      </c>
      <c r="O38" s="269">
        <f t="shared" si="5"/>
        <v>116339135</v>
      </c>
      <c r="P38" s="267">
        <f t="shared" si="5"/>
        <v>123203143.96500003</v>
      </c>
      <c r="Q38" s="268">
        <f t="shared" si="5"/>
        <v>130102520.02704008</v>
      </c>
    </row>
    <row r="39" spans="1:20" x14ac:dyDescent="0.25">
      <c r="A39" s="844" t="s">
        <v>598</v>
      </c>
      <c r="B39" s="876">
        <v>2</v>
      </c>
      <c r="C39" s="353">
        <f>C20+C38</f>
        <v>9595761.25</v>
      </c>
      <c r="D39" s="227">
        <f t="shared" ref="D39:N39" si="6">D20+D38</f>
        <v>9595761.25</v>
      </c>
      <c r="E39" s="227">
        <f t="shared" si="6"/>
        <v>9685761.25</v>
      </c>
      <c r="F39" s="227">
        <f t="shared" si="6"/>
        <v>9595761.25</v>
      </c>
      <c r="G39" s="227">
        <f t="shared" si="6"/>
        <v>10695761.25</v>
      </c>
      <c r="H39" s="227">
        <f t="shared" si="6"/>
        <v>9595761.25</v>
      </c>
      <c r="I39" s="227">
        <f t="shared" si="6"/>
        <v>9595761.25</v>
      </c>
      <c r="J39" s="227">
        <f t="shared" si="6"/>
        <v>9595761.25</v>
      </c>
      <c r="K39" s="227">
        <f t="shared" si="6"/>
        <v>9595761.25</v>
      </c>
      <c r="L39" s="227">
        <f t="shared" si="6"/>
        <v>9595761.25</v>
      </c>
      <c r="M39" s="227">
        <f t="shared" si="6"/>
        <v>9595761.25</v>
      </c>
      <c r="N39" s="226">
        <f t="shared" si="6"/>
        <v>9595761.25</v>
      </c>
      <c r="O39" s="353">
        <f>O20+O38</f>
        <v>116339135</v>
      </c>
      <c r="P39" s="227">
        <f>P20+P38</f>
        <v>123203143.96500003</v>
      </c>
      <c r="Q39" s="352">
        <f>Q20+Q38</f>
        <v>130102520.02704008</v>
      </c>
    </row>
    <row r="40" spans="1:20" x14ac:dyDescent="0.25">
      <c r="A40" s="1279"/>
      <c r="B40" s="1280"/>
      <c r="C40" s="395"/>
      <c r="D40" s="395"/>
      <c r="E40" s="395"/>
      <c r="F40" s="395"/>
      <c r="G40" s="395"/>
      <c r="H40" s="395"/>
      <c r="I40" s="395"/>
      <c r="J40" s="395"/>
      <c r="K40" s="395"/>
      <c r="L40" s="395"/>
      <c r="M40" s="395"/>
      <c r="N40" s="395"/>
      <c r="O40" s="395"/>
      <c r="P40" s="395"/>
      <c r="Q40" s="395"/>
    </row>
    <row r="41" spans="1:20" x14ac:dyDescent="0.25">
      <c r="A41" s="1279"/>
      <c r="B41" s="1280"/>
      <c r="C41" s="395"/>
      <c r="D41" s="395"/>
      <c r="E41" s="395"/>
      <c r="F41" s="395"/>
      <c r="G41" s="395"/>
      <c r="H41" s="395"/>
      <c r="I41" s="395"/>
      <c r="J41" s="395"/>
      <c r="K41" s="395"/>
      <c r="L41" s="395"/>
      <c r="M41" s="395"/>
      <c r="N41" s="395"/>
      <c r="O41" s="395"/>
      <c r="P41" s="395"/>
      <c r="Q41" s="395"/>
    </row>
    <row r="42" spans="1:20" s="708" customFormat="1" x14ac:dyDescent="0.25">
      <c r="A42" s="1417" t="str">
        <f>head27a</f>
        <v>References</v>
      </c>
      <c r="B42" s="1081"/>
      <c r="C42" s="1035"/>
      <c r="D42" s="1035"/>
      <c r="E42" s="1035"/>
      <c r="F42" s="1035"/>
      <c r="G42" s="1035"/>
      <c r="H42" s="1035"/>
      <c r="I42" s="1035"/>
      <c r="J42" s="1035"/>
      <c r="K42" s="1035"/>
      <c r="L42" s="1035"/>
      <c r="M42" s="1035"/>
      <c r="N42" s="1035"/>
      <c r="O42" s="1035"/>
      <c r="P42" s="1035"/>
      <c r="Q42" s="1035"/>
      <c r="R42" s="149"/>
      <c r="S42" s="1082"/>
      <c r="T42" s="1082"/>
    </row>
    <row r="43" spans="1:20" s="708" customFormat="1" x14ac:dyDescent="0.25">
      <c r="A43" s="1411" t="s">
        <v>789</v>
      </c>
      <c r="B43" s="1043"/>
      <c r="C43" s="1035"/>
      <c r="D43" s="1035"/>
      <c r="E43" s="1035"/>
      <c r="F43" s="1035"/>
      <c r="G43" s="1035"/>
      <c r="H43" s="1035"/>
      <c r="I43" s="1035"/>
      <c r="J43" s="1035"/>
      <c r="K43" s="1035"/>
      <c r="L43" s="1035"/>
      <c r="M43" s="1035"/>
      <c r="N43" s="1035"/>
      <c r="O43" s="1035"/>
      <c r="P43" s="1035"/>
      <c r="Q43" s="1035"/>
      <c r="R43" s="1082"/>
      <c r="S43" s="1082"/>
      <c r="T43" s="1082"/>
    </row>
    <row r="44" spans="1:20" s="708" customFormat="1" x14ac:dyDescent="0.25">
      <c r="A44" s="1411" t="s">
        <v>171</v>
      </c>
      <c r="B44" s="1043"/>
    </row>
    <row r="45" spans="1:20" x14ac:dyDescent="0.25">
      <c r="A45" s="436" t="s">
        <v>1509</v>
      </c>
      <c r="B45" s="800"/>
      <c r="O45" s="802">
        <f>O20-'A5-Capex'!J21</f>
        <v>0</v>
      </c>
      <c r="P45" s="802">
        <f>P20-'A5-Capex'!K21</f>
        <v>0</v>
      </c>
      <c r="Q45" s="802">
        <f>Q20-'A5-Capex'!L21</f>
        <v>0</v>
      </c>
    </row>
    <row r="47" spans="1:20" x14ac:dyDescent="0.25">
      <c r="E47" s="149" t="s">
        <v>197</v>
      </c>
    </row>
  </sheetData>
  <sheetProtection sheet="1" objects="1" scenarios="1"/>
  <customSheetViews>
    <customSheetView guid="{F50C5479-5CC4-4FD7-8319-543D29E829F0}" showGridLines="0" fitToPage="1">
      <pane xSplit="2" ySplit="3" topLeftCell="C4" activePane="bottomRight" state="frozen"/>
      <selection pane="bottomRight" activeCell="F35" sqref="F35"/>
      <pageMargins left="0" right="0" top="0.78740157480314965" bottom="0.59055118110236227" header="0.51181102362204722" footer="0.39370078740157483"/>
      <printOptions horizontalCentered="1"/>
      <pageSetup paperSize="9" scale="87" orientation="landscape" r:id="rId1"/>
      <headerFooter alignWithMargins="0"/>
    </customSheetView>
  </customSheetViews>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87"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C115" sqref="C115"/>
    </sheetView>
  </sheetViews>
  <sheetFormatPr defaultRowHeight="11.25" x14ac:dyDescent="0.2"/>
  <cols>
    <col min="1" max="1" width="37.5703125" style="2236" customWidth="1"/>
    <col min="2" max="2" width="7.7109375" style="2240" customWidth="1"/>
    <col min="3" max="3" width="47.85546875" style="2241" customWidth="1"/>
    <col min="4" max="4" width="20" style="2236" hidden="1" customWidth="1"/>
    <col min="5" max="5" width="43.42578125" style="2236" customWidth="1"/>
    <col min="6" max="16384" width="9.140625" style="2236"/>
  </cols>
  <sheetData>
    <row r="1" spans="1:5" ht="35.25" customHeight="1" x14ac:dyDescent="0.2">
      <c r="A1" s="2233" t="s">
        <v>2004</v>
      </c>
      <c r="B1" s="2234"/>
      <c r="C1" s="2235" t="s">
        <v>2003</v>
      </c>
      <c r="E1" s="2233" t="s">
        <v>2019</v>
      </c>
    </row>
    <row r="2" spans="1:5" x14ac:dyDescent="0.2">
      <c r="A2" s="2236" t="str">
        <f>B2&amp;" - "&amp;C2</f>
        <v>Vote 1 - 100 COUNCIL &amp; GENERAL</v>
      </c>
      <c r="B2" s="2237" t="s">
        <v>1958</v>
      </c>
      <c r="C2" s="2231" t="s">
        <v>2286</v>
      </c>
      <c r="E2" s="2337"/>
    </row>
    <row r="3" spans="1:5" x14ac:dyDescent="0.2">
      <c r="A3" s="2236" t="str">
        <f>B13&amp;" - "&amp; C13</f>
        <v>Vote 2 - 102 MUNICIPAL MANAGER</v>
      </c>
      <c r="B3" s="2238">
        <v>1.1000000000000001</v>
      </c>
      <c r="C3" s="2232" t="s">
        <v>2292</v>
      </c>
      <c r="D3" s="2236" t="str">
        <f t="shared" ref="D3:D12" si="0">CONCATENATE(B3, " - ", C3)</f>
        <v>1.1 - SALARIES</v>
      </c>
      <c r="E3" s="2338"/>
    </row>
    <row r="4" spans="1:5" x14ac:dyDescent="0.2">
      <c r="A4" s="2236" t="str">
        <f>B24&amp;" - "&amp;C24</f>
        <v>Vote 3 - 103 PLANNING and DEVELOPMENT</v>
      </c>
      <c r="B4" s="2238">
        <v>1.2</v>
      </c>
      <c r="C4" s="2232" t="s">
        <v>2293</v>
      </c>
      <c r="D4" s="2236" t="str">
        <f t="shared" si="0"/>
        <v>1.2 - GENERAL EXPENDITURE</v>
      </c>
      <c r="E4" s="2338"/>
    </row>
    <row r="5" spans="1:5" x14ac:dyDescent="0.2">
      <c r="A5" s="2236" t="str">
        <f>B35&amp;" - "&amp;C35</f>
        <v>Vote 4 - 104 FINANCE</v>
      </c>
      <c r="B5" s="2238">
        <v>1.3</v>
      </c>
      <c r="C5" s="2232" t="s">
        <v>2294</v>
      </c>
      <c r="D5" s="2236" t="str">
        <f t="shared" si="0"/>
        <v>1.3 - REPAIRS &amp; MAINTENANCE</v>
      </c>
      <c r="E5" s="2338"/>
    </row>
    <row r="6" spans="1:5" x14ac:dyDescent="0.2">
      <c r="A6" s="2236" t="str">
        <f>B46&amp;" - "&amp;C46</f>
        <v>Vote 5 - 105 TECHNICAL SERVICES</v>
      </c>
      <c r="B6" s="2238">
        <v>1.4</v>
      </c>
      <c r="C6" s="2232" t="s">
        <v>1416</v>
      </c>
      <c r="D6" s="2236" t="str">
        <f t="shared" si="0"/>
        <v>1.4 - CAPITAL EXPENDITURE</v>
      </c>
      <c r="E6" s="2338"/>
    </row>
    <row r="7" spans="1:5" x14ac:dyDescent="0.2">
      <c r="A7" s="2236" t="str">
        <f>B57&amp;" - "&amp;C57</f>
        <v>Vote 6 - 500 PMU</v>
      </c>
      <c r="B7" s="2238">
        <v>1.5</v>
      </c>
      <c r="C7" s="2232"/>
      <c r="D7" s="2236" t="str">
        <f t="shared" si="0"/>
        <v xml:space="preserve">1.5 - </v>
      </c>
      <c r="E7" s="2338"/>
    </row>
    <row r="8" spans="1:5" x14ac:dyDescent="0.2">
      <c r="A8" s="2236" t="str">
        <f>B68&amp;" - "&amp;C68</f>
        <v>Vote 7 - 520 WASTE MANAGEMENT</v>
      </c>
      <c r="B8" s="2238">
        <v>1.6</v>
      </c>
      <c r="C8" s="2232"/>
      <c r="D8" s="2236" t="str">
        <f t="shared" si="0"/>
        <v xml:space="preserve">1.6 - </v>
      </c>
      <c r="E8" s="2338"/>
    </row>
    <row r="9" spans="1:5" x14ac:dyDescent="0.2">
      <c r="A9" s="2236" t="str">
        <f>B79&amp;" - "&amp;C79</f>
        <v>Vote 8 - 530 ELECTRICITY SERVICES</v>
      </c>
      <c r="B9" s="2238">
        <v>1.7</v>
      </c>
      <c r="C9" s="2232"/>
      <c r="D9" s="2236" t="str">
        <f t="shared" si="0"/>
        <v xml:space="preserve">1.7 - </v>
      </c>
      <c r="E9" s="2338"/>
    </row>
    <row r="10" spans="1:5" x14ac:dyDescent="0.2">
      <c r="A10" s="2236" t="str">
        <f>B90&amp;" - "&amp;C90</f>
        <v>Vote 9 - 540 WATER SERVICES</v>
      </c>
      <c r="B10" s="2238">
        <v>1.8</v>
      </c>
      <c r="C10" s="2232"/>
      <c r="D10" s="2236" t="str">
        <f t="shared" si="0"/>
        <v xml:space="preserve">1.8 - </v>
      </c>
      <c r="E10" s="2338"/>
    </row>
    <row r="11" spans="1:5" x14ac:dyDescent="0.2">
      <c r="A11" s="2236" t="str">
        <f>B101&amp;" - "&amp;C101</f>
        <v>Vote 10 - 550 ROADS &amp; STORMWATER</v>
      </c>
      <c r="B11" s="2238">
        <v>1.9</v>
      </c>
      <c r="C11" s="2232"/>
      <c r="D11" s="2236" t="str">
        <f t="shared" si="0"/>
        <v xml:space="preserve">1.9 - </v>
      </c>
      <c r="E11" s="2338"/>
    </row>
    <row r="12" spans="1:5" x14ac:dyDescent="0.2">
      <c r="A12" s="2236" t="str">
        <f>B112&amp;" - "&amp;C112</f>
        <v>Vote 11 - 560 SANITATION SERVICES</v>
      </c>
      <c r="B12" s="2238" t="s">
        <v>1988</v>
      </c>
      <c r="C12" s="2232"/>
      <c r="D12" s="2236" t="str">
        <f t="shared" si="0"/>
        <v xml:space="preserve">1.10 - </v>
      </c>
      <c r="E12" s="2338"/>
    </row>
    <row r="13" spans="1:5" x14ac:dyDescent="0.2">
      <c r="A13" s="2236" t="str">
        <f>B123&amp;" - "&amp;C123</f>
        <v>Vote 12 - 106 CORPORATE SERVICES</v>
      </c>
      <c r="B13" s="2237" t="s">
        <v>1959</v>
      </c>
      <c r="C13" s="2231" t="s">
        <v>2287</v>
      </c>
      <c r="E13" s="2337"/>
    </row>
    <row r="14" spans="1:5" x14ac:dyDescent="0.2">
      <c r="A14" s="2236" t="str">
        <f>B134&amp;" - "&amp;C134</f>
        <v>Vote 13 - 107 COMMUNITY SERVICES</v>
      </c>
      <c r="B14" s="2238">
        <v>2.1</v>
      </c>
      <c r="C14" s="2232" t="s">
        <v>2292</v>
      </c>
      <c r="D14" s="2236" t="str">
        <f t="shared" ref="D14:D23" si="1">CONCATENATE(B14, " - ", C14)</f>
        <v>2.1 - SALARIES</v>
      </c>
      <c r="E14" s="2338" t="s">
        <v>2005</v>
      </c>
    </row>
    <row r="15" spans="1:5" x14ac:dyDescent="0.2">
      <c r="A15" s="2236" t="str">
        <f>B145&amp;" - "&amp;C145</f>
        <v>Vote 14 - 108 PUBLIC SAFETY &amp; ROADS</v>
      </c>
      <c r="B15" s="2238">
        <v>2.2000000000000002</v>
      </c>
      <c r="C15" s="2232" t="s">
        <v>2293</v>
      </c>
      <c r="D15" s="2236" t="str">
        <f t="shared" si="1"/>
        <v>2.2 - GENERAL EXPENDITURE</v>
      </c>
      <c r="E15" s="2338"/>
    </row>
    <row r="16" spans="1:5" x14ac:dyDescent="0.2">
      <c r="A16" s="2236" t="str">
        <f>B156&amp;" - "&amp;C156</f>
        <v>Vote 15 - 300 SPORTS,RECREATION ARTS,CULTURE AND PROPERTY SERVICES</v>
      </c>
      <c r="B16" s="2238">
        <v>2.2999999999999998</v>
      </c>
      <c r="C16" s="2232" t="s">
        <v>2294</v>
      </c>
      <c r="D16" s="2236" t="str">
        <f t="shared" si="1"/>
        <v>2.3 - REPAIRS &amp; MAINTENANCE</v>
      </c>
      <c r="E16" s="2338"/>
    </row>
    <row r="17" spans="1:5" x14ac:dyDescent="0.2">
      <c r="B17" s="2238">
        <v>2.4</v>
      </c>
      <c r="C17" s="2232" t="s">
        <v>1416</v>
      </c>
      <c r="D17" s="2236" t="str">
        <f t="shared" si="1"/>
        <v>2.4 - CAPITAL EXPENDITURE</v>
      </c>
      <c r="E17" s="2338"/>
    </row>
    <row r="18" spans="1:5" x14ac:dyDescent="0.2">
      <c r="B18" s="2238">
        <v>2.5</v>
      </c>
      <c r="C18" s="2232"/>
      <c r="D18" s="2236" t="str">
        <f t="shared" si="1"/>
        <v xml:space="preserve">2.5 - </v>
      </c>
      <c r="E18" s="2338"/>
    </row>
    <row r="19" spans="1:5" x14ac:dyDescent="0.2">
      <c r="B19" s="2238">
        <v>2.6</v>
      </c>
      <c r="C19" s="2232"/>
      <c r="D19" s="2236" t="str">
        <f t="shared" si="1"/>
        <v xml:space="preserve">2.6 - </v>
      </c>
      <c r="E19" s="2338"/>
    </row>
    <row r="20" spans="1:5" x14ac:dyDescent="0.2">
      <c r="B20" s="2238">
        <v>2.7</v>
      </c>
      <c r="C20" s="2232"/>
      <c r="D20" s="2236" t="str">
        <f t="shared" si="1"/>
        <v xml:space="preserve">2.7 - </v>
      </c>
      <c r="E20" s="2338"/>
    </row>
    <row r="21" spans="1:5" x14ac:dyDescent="0.2">
      <c r="A21" s="2337"/>
      <c r="B21" s="2238">
        <v>2.8</v>
      </c>
      <c r="C21" s="2232"/>
      <c r="D21" s="2236" t="str">
        <f t="shared" si="1"/>
        <v xml:space="preserve">2.8 - </v>
      </c>
      <c r="E21" s="2338"/>
    </row>
    <row r="22" spans="1:5" x14ac:dyDescent="0.2">
      <c r="B22" s="2238">
        <v>2.9</v>
      </c>
      <c r="C22" s="2232"/>
      <c r="D22" s="2236" t="str">
        <f t="shared" si="1"/>
        <v xml:space="preserve">2.9 - </v>
      </c>
      <c r="E22" s="2338"/>
    </row>
    <row r="23" spans="1:5" x14ac:dyDescent="0.2">
      <c r="B23" s="2238" t="s">
        <v>1989</v>
      </c>
      <c r="C23" s="2232"/>
      <c r="D23" s="2236" t="str">
        <f t="shared" si="1"/>
        <v xml:space="preserve">2.10 - </v>
      </c>
      <c r="E23" s="2338"/>
    </row>
    <row r="24" spans="1:5" x14ac:dyDescent="0.2">
      <c r="B24" s="2237" t="s">
        <v>1960</v>
      </c>
      <c r="C24" s="2231" t="s">
        <v>2310</v>
      </c>
      <c r="E24" s="2338"/>
    </row>
    <row r="25" spans="1:5" x14ac:dyDescent="0.2">
      <c r="B25" s="2238">
        <v>3.1</v>
      </c>
      <c r="C25" s="2232" t="s">
        <v>2292</v>
      </c>
      <c r="D25" s="2236" t="str">
        <f t="shared" ref="D25:D34" si="2">CONCATENATE(B25, " - ", C25)</f>
        <v>3.1 - SALARIES</v>
      </c>
      <c r="E25" s="2338" t="s">
        <v>2006</v>
      </c>
    </row>
    <row r="26" spans="1:5" x14ac:dyDescent="0.2">
      <c r="B26" s="2238">
        <v>3.2</v>
      </c>
      <c r="C26" s="2232" t="s">
        <v>2293</v>
      </c>
      <c r="D26" s="2236" t="str">
        <f t="shared" si="2"/>
        <v>3.2 - GENERAL EXPENDITURE</v>
      </c>
      <c r="E26" s="2338"/>
    </row>
    <row r="27" spans="1:5" x14ac:dyDescent="0.2">
      <c r="B27" s="2238">
        <v>3.3</v>
      </c>
      <c r="C27" s="2232" t="s">
        <v>2294</v>
      </c>
      <c r="D27" s="2236" t="str">
        <f t="shared" si="2"/>
        <v>3.3 - REPAIRS &amp; MAINTENANCE</v>
      </c>
      <c r="E27" s="2338"/>
    </row>
    <row r="28" spans="1:5" x14ac:dyDescent="0.2">
      <c r="B28" s="2238">
        <v>3.4</v>
      </c>
      <c r="C28" s="2232" t="s">
        <v>1416</v>
      </c>
      <c r="D28" s="2236" t="str">
        <f t="shared" si="2"/>
        <v>3.4 - CAPITAL EXPENDITURE</v>
      </c>
      <c r="E28" s="2338"/>
    </row>
    <row r="29" spans="1:5" x14ac:dyDescent="0.2">
      <c r="B29" s="2238">
        <v>3.5</v>
      </c>
      <c r="C29" s="2232"/>
      <c r="D29" s="2236" t="str">
        <f t="shared" si="2"/>
        <v xml:space="preserve">3.5 - </v>
      </c>
      <c r="E29" s="2338"/>
    </row>
    <row r="30" spans="1:5" x14ac:dyDescent="0.2">
      <c r="B30" s="2238">
        <v>3.6</v>
      </c>
      <c r="C30" s="2232"/>
      <c r="D30" s="2236" t="str">
        <f t="shared" si="2"/>
        <v xml:space="preserve">3.6 - </v>
      </c>
      <c r="E30" s="2338"/>
    </row>
    <row r="31" spans="1:5" x14ac:dyDescent="0.2">
      <c r="B31" s="2238">
        <v>3.7</v>
      </c>
      <c r="C31" s="2232"/>
      <c r="D31" s="2236" t="str">
        <f t="shared" si="2"/>
        <v xml:space="preserve">3.7 - </v>
      </c>
      <c r="E31" s="2338"/>
    </row>
    <row r="32" spans="1:5" x14ac:dyDescent="0.2">
      <c r="B32" s="2238">
        <v>3.8</v>
      </c>
      <c r="C32" s="2232"/>
      <c r="D32" s="2236" t="str">
        <f t="shared" si="2"/>
        <v xml:space="preserve">3.8 - </v>
      </c>
      <c r="E32" s="2338"/>
    </row>
    <row r="33" spans="2:5" x14ac:dyDescent="0.2">
      <c r="B33" s="2238">
        <v>3.9</v>
      </c>
      <c r="C33" s="2232"/>
      <c r="D33" s="2236" t="str">
        <f t="shared" si="2"/>
        <v xml:space="preserve">3.9 - </v>
      </c>
      <c r="E33" s="2338"/>
    </row>
    <row r="34" spans="2:5" x14ac:dyDescent="0.2">
      <c r="B34" s="2238" t="s">
        <v>1990</v>
      </c>
      <c r="C34" s="2232"/>
      <c r="D34" s="2236" t="str">
        <f t="shared" si="2"/>
        <v xml:space="preserve">3.10 - </v>
      </c>
      <c r="E34" s="2338"/>
    </row>
    <row r="35" spans="2:5" x14ac:dyDescent="0.2">
      <c r="B35" s="2237" t="s">
        <v>1961</v>
      </c>
      <c r="C35" s="2231" t="s">
        <v>2288</v>
      </c>
      <c r="E35" s="2338"/>
    </row>
    <row r="36" spans="2:5" x14ac:dyDescent="0.2">
      <c r="B36" s="2238">
        <v>4.0999999999999996</v>
      </c>
      <c r="C36" s="2232" t="s">
        <v>2295</v>
      </c>
      <c r="D36" s="2236" t="str">
        <f t="shared" ref="D36:D45" si="3">CONCATENATE(B36, " - ", C36)</f>
        <v>4.1 - INCOME</v>
      </c>
      <c r="E36" s="2338" t="s">
        <v>2007</v>
      </c>
    </row>
    <row r="37" spans="2:5" x14ac:dyDescent="0.2">
      <c r="B37" s="2238">
        <v>4.2</v>
      </c>
      <c r="C37" s="2232" t="s">
        <v>2292</v>
      </c>
      <c r="D37" s="2236" t="str">
        <f t="shared" si="3"/>
        <v>4.2 - SALARIES</v>
      </c>
      <c r="E37" s="2338"/>
    </row>
    <row r="38" spans="2:5" x14ac:dyDescent="0.2">
      <c r="B38" s="2238">
        <v>4.3</v>
      </c>
      <c r="C38" s="2232" t="s">
        <v>2293</v>
      </c>
      <c r="D38" s="2236" t="str">
        <f t="shared" si="3"/>
        <v>4.3 - GENERAL EXPENDITURE</v>
      </c>
      <c r="E38" s="2338"/>
    </row>
    <row r="39" spans="2:5" x14ac:dyDescent="0.2">
      <c r="B39" s="2238">
        <v>4.4000000000000004</v>
      </c>
      <c r="C39" s="2232" t="s">
        <v>2294</v>
      </c>
      <c r="D39" s="2236" t="str">
        <f t="shared" si="3"/>
        <v>4.4 - REPAIRS &amp; MAINTENANCE</v>
      </c>
      <c r="E39" s="2338"/>
    </row>
    <row r="40" spans="2:5" x14ac:dyDescent="0.2">
      <c r="B40" s="2238">
        <v>4.5</v>
      </c>
      <c r="C40" s="2232" t="s">
        <v>1416</v>
      </c>
      <c r="D40" s="2236" t="str">
        <f t="shared" si="3"/>
        <v>4.5 - CAPITAL EXPENDITURE</v>
      </c>
      <c r="E40" s="2338"/>
    </row>
    <row r="41" spans="2:5" x14ac:dyDescent="0.2">
      <c r="B41" s="2238">
        <v>4.5999999999999996</v>
      </c>
      <c r="C41" s="2232"/>
      <c r="D41" s="2236" t="str">
        <f t="shared" si="3"/>
        <v xml:space="preserve">4.6 - </v>
      </c>
      <c r="E41" s="2338"/>
    </row>
    <row r="42" spans="2:5" x14ac:dyDescent="0.2">
      <c r="B42" s="2238">
        <v>4.7</v>
      </c>
      <c r="C42" s="2232"/>
      <c r="D42" s="2236" t="str">
        <f t="shared" si="3"/>
        <v xml:space="preserve">4.7 - </v>
      </c>
      <c r="E42" s="2338"/>
    </row>
    <row r="43" spans="2:5" x14ac:dyDescent="0.2">
      <c r="B43" s="2238">
        <v>4.8</v>
      </c>
      <c r="C43" s="2232"/>
      <c r="D43" s="2236" t="str">
        <f t="shared" si="3"/>
        <v xml:space="preserve">4.8 - </v>
      </c>
      <c r="E43" s="2338"/>
    </row>
    <row r="44" spans="2:5" x14ac:dyDescent="0.2">
      <c r="B44" s="2238">
        <v>4.9000000000000004</v>
      </c>
      <c r="C44" s="2232"/>
      <c r="D44" s="2236" t="str">
        <f t="shared" si="3"/>
        <v xml:space="preserve">4.9 - </v>
      </c>
      <c r="E44" s="2338"/>
    </row>
    <row r="45" spans="2:5" x14ac:dyDescent="0.2">
      <c r="B45" s="2238" t="s">
        <v>1991</v>
      </c>
      <c r="C45" s="2232"/>
      <c r="D45" s="2236" t="str">
        <f t="shared" si="3"/>
        <v xml:space="preserve">4.10 - </v>
      </c>
      <c r="E45" s="2338"/>
    </row>
    <row r="46" spans="2:5" x14ac:dyDescent="0.2">
      <c r="B46" s="2237" t="s">
        <v>1962</v>
      </c>
      <c r="C46" s="2231" t="s">
        <v>2289</v>
      </c>
      <c r="E46" s="2338"/>
    </row>
    <row r="47" spans="2:5" x14ac:dyDescent="0.2">
      <c r="B47" s="2238">
        <v>5.0999999999999996</v>
      </c>
      <c r="C47" s="2232" t="s">
        <v>2295</v>
      </c>
      <c r="D47" s="2236" t="str">
        <f t="shared" ref="D47:D56" si="4">CONCATENATE(B47, " - ", C47)</f>
        <v>5.1 - INCOME</v>
      </c>
      <c r="E47" s="2338" t="s">
        <v>2008</v>
      </c>
    </row>
    <row r="48" spans="2:5" x14ac:dyDescent="0.2">
      <c r="B48" s="2238">
        <v>5.2</v>
      </c>
      <c r="C48" s="2232" t="s">
        <v>2292</v>
      </c>
      <c r="D48" s="2236" t="str">
        <f t="shared" si="4"/>
        <v>5.2 - SALARIES</v>
      </c>
      <c r="E48" s="2338"/>
    </row>
    <row r="49" spans="2:5" x14ac:dyDescent="0.2">
      <c r="B49" s="2238">
        <v>5.3</v>
      </c>
      <c r="C49" s="2232" t="s">
        <v>2293</v>
      </c>
      <c r="D49" s="2236" t="str">
        <f t="shared" si="4"/>
        <v>5.3 - GENERAL EXPENDITURE</v>
      </c>
      <c r="E49" s="2338"/>
    </row>
    <row r="50" spans="2:5" x14ac:dyDescent="0.2">
      <c r="B50" s="2238">
        <v>5.4</v>
      </c>
      <c r="C50" s="2232" t="s">
        <v>2294</v>
      </c>
      <c r="D50" s="2236" t="str">
        <f t="shared" si="4"/>
        <v>5.4 - REPAIRS &amp; MAINTENANCE</v>
      </c>
      <c r="E50" s="2338"/>
    </row>
    <row r="51" spans="2:5" x14ac:dyDescent="0.2">
      <c r="B51" s="2238">
        <v>5.5</v>
      </c>
      <c r="C51" s="2232" t="s">
        <v>1416</v>
      </c>
      <c r="D51" s="2236" t="str">
        <f t="shared" si="4"/>
        <v>5.5 - CAPITAL EXPENDITURE</v>
      </c>
      <c r="E51" s="2338"/>
    </row>
    <row r="52" spans="2:5" x14ac:dyDescent="0.2">
      <c r="B52" s="2238">
        <v>5.6</v>
      </c>
      <c r="C52" s="2232"/>
      <c r="D52" s="2236" t="str">
        <f t="shared" si="4"/>
        <v xml:space="preserve">5.6 - </v>
      </c>
      <c r="E52" s="2338"/>
    </row>
    <row r="53" spans="2:5" x14ac:dyDescent="0.2">
      <c r="B53" s="2238">
        <v>5.7</v>
      </c>
      <c r="C53" s="2232"/>
      <c r="D53" s="2236" t="str">
        <f t="shared" si="4"/>
        <v xml:space="preserve">5.7 - </v>
      </c>
      <c r="E53" s="2338"/>
    </row>
    <row r="54" spans="2:5" x14ac:dyDescent="0.2">
      <c r="B54" s="2238">
        <v>5.8</v>
      </c>
      <c r="C54" s="2232"/>
      <c r="D54" s="2236" t="str">
        <f t="shared" si="4"/>
        <v xml:space="preserve">5.8 - </v>
      </c>
      <c r="E54" s="2338"/>
    </row>
    <row r="55" spans="2:5" x14ac:dyDescent="0.2">
      <c r="B55" s="2238">
        <v>5.9</v>
      </c>
      <c r="C55" s="2232"/>
      <c r="D55" s="2236" t="str">
        <f t="shared" si="4"/>
        <v xml:space="preserve">5.9 - </v>
      </c>
      <c r="E55" s="2338"/>
    </row>
    <row r="56" spans="2:5" x14ac:dyDescent="0.2">
      <c r="B56" s="2238" t="s">
        <v>1992</v>
      </c>
      <c r="C56" s="2232"/>
      <c r="D56" s="2236" t="str">
        <f t="shared" si="4"/>
        <v xml:space="preserve">5.10 - </v>
      </c>
      <c r="E56" s="2338"/>
    </row>
    <row r="57" spans="2:5" x14ac:dyDescent="0.2">
      <c r="B57" s="2237" t="s">
        <v>1963</v>
      </c>
      <c r="C57" s="2231" t="s">
        <v>2290</v>
      </c>
      <c r="E57" s="2338"/>
    </row>
    <row r="58" spans="2:5" x14ac:dyDescent="0.2">
      <c r="B58" s="2238">
        <v>6.1</v>
      </c>
      <c r="C58" s="2232" t="s">
        <v>2295</v>
      </c>
      <c r="D58" s="2236" t="str">
        <f t="shared" ref="D58:D67" si="5">CONCATENATE(B58, " - ", C58)</f>
        <v>6.1 - INCOME</v>
      </c>
      <c r="E58" s="2338" t="s">
        <v>2009</v>
      </c>
    </row>
    <row r="59" spans="2:5" x14ac:dyDescent="0.2">
      <c r="B59" s="2238">
        <v>6.2</v>
      </c>
      <c r="C59" s="2232" t="s">
        <v>2292</v>
      </c>
      <c r="D59" s="2236" t="str">
        <f t="shared" si="5"/>
        <v>6.2 - SALARIES</v>
      </c>
      <c r="E59" s="2338"/>
    </row>
    <row r="60" spans="2:5" x14ac:dyDescent="0.2">
      <c r="B60" s="2238">
        <v>6.3</v>
      </c>
      <c r="C60" s="2232" t="s">
        <v>2293</v>
      </c>
      <c r="D60" s="2236" t="str">
        <f t="shared" si="5"/>
        <v>6.3 - GENERAL EXPENDITURE</v>
      </c>
      <c r="E60" s="2338"/>
    </row>
    <row r="61" spans="2:5" x14ac:dyDescent="0.2">
      <c r="B61" s="2238">
        <v>6.4</v>
      </c>
      <c r="C61" s="2232" t="s">
        <v>2294</v>
      </c>
      <c r="D61" s="2236" t="str">
        <f t="shared" si="5"/>
        <v>6.4 - REPAIRS &amp; MAINTENANCE</v>
      </c>
      <c r="E61" s="2338"/>
    </row>
    <row r="62" spans="2:5" x14ac:dyDescent="0.2">
      <c r="B62" s="2238">
        <v>6.5</v>
      </c>
      <c r="C62" s="2232" t="s">
        <v>1416</v>
      </c>
      <c r="D62" s="2236" t="str">
        <f t="shared" si="5"/>
        <v>6.5 - CAPITAL EXPENDITURE</v>
      </c>
      <c r="E62" s="2338"/>
    </row>
    <row r="63" spans="2:5" x14ac:dyDescent="0.2">
      <c r="B63" s="2238">
        <v>6.6</v>
      </c>
      <c r="C63" s="2232"/>
      <c r="D63" s="2236" t="str">
        <f t="shared" si="5"/>
        <v xml:space="preserve">6.6 - </v>
      </c>
      <c r="E63" s="2338"/>
    </row>
    <row r="64" spans="2:5" x14ac:dyDescent="0.2">
      <c r="B64" s="2238">
        <v>6.7</v>
      </c>
      <c r="C64" s="2232"/>
      <c r="D64" s="2236" t="str">
        <f t="shared" si="5"/>
        <v xml:space="preserve">6.7 - </v>
      </c>
      <c r="E64" s="2338"/>
    </row>
    <row r="65" spans="2:5" x14ac:dyDescent="0.2">
      <c r="B65" s="2238">
        <v>6.8</v>
      </c>
      <c r="C65" s="2232"/>
      <c r="D65" s="2236" t="str">
        <f t="shared" si="5"/>
        <v xml:space="preserve">6.8 - </v>
      </c>
      <c r="E65" s="2338"/>
    </row>
    <row r="66" spans="2:5" x14ac:dyDescent="0.2">
      <c r="B66" s="2238">
        <v>6.9</v>
      </c>
      <c r="C66" s="2232"/>
      <c r="D66" s="2236" t="str">
        <f t="shared" si="5"/>
        <v xml:space="preserve">6.9 - </v>
      </c>
      <c r="E66" s="2338"/>
    </row>
    <row r="67" spans="2:5" x14ac:dyDescent="0.2">
      <c r="B67" s="2238" t="s">
        <v>1993</v>
      </c>
      <c r="C67" s="2232"/>
      <c r="D67" s="2236" t="str">
        <f t="shared" si="5"/>
        <v xml:space="preserve">6.10 - </v>
      </c>
      <c r="E67" s="2338"/>
    </row>
    <row r="68" spans="2:5" x14ac:dyDescent="0.2">
      <c r="B68" s="2239" t="s">
        <v>1964</v>
      </c>
      <c r="C68" s="2231" t="s">
        <v>2291</v>
      </c>
      <c r="E68" s="2338"/>
    </row>
    <row r="69" spans="2:5" x14ac:dyDescent="0.2">
      <c r="B69" s="2238">
        <v>7.1</v>
      </c>
      <c r="C69" s="2232" t="s">
        <v>2295</v>
      </c>
      <c r="D69" s="2236" t="str">
        <f t="shared" ref="D69:D78" si="6">CONCATENATE(B69, " - ", C69)</f>
        <v>7.1 - INCOME</v>
      </c>
      <c r="E69" s="2338" t="s">
        <v>2010</v>
      </c>
    </row>
    <row r="70" spans="2:5" x14ac:dyDescent="0.2">
      <c r="B70" s="2238">
        <v>7.2</v>
      </c>
      <c r="C70" s="2232" t="s">
        <v>2292</v>
      </c>
      <c r="D70" s="2236" t="str">
        <f t="shared" si="6"/>
        <v>7.2 - SALARIES</v>
      </c>
      <c r="E70" s="2338"/>
    </row>
    <row r="71" spans="2:5" x14ac:dyDescent="0.2">
      <c r="B71" s="2238">
        <v>7.3</v>
      </c>
      <c r="C71" s="2232" t="s">
        <v>2293</v>
      </c>
      <c r="D71" s="2236" t="str">
        <f t="shared" si="6"/>
        <v>7.3 - GENERAL EXPENDITURE</v>
      </c>
      <c r="E71" s="2338"/>
    </row>
    <row r="72" spans="2:5" x14ac:dyDescent="0.2">
      <c r="B72" s="2238">
        <v>7.4</v>
      </c>
      <c r="C72" s="2232" t="s">
        <v>2294</v>
      </c>
      <c r="D72" s="2236" t="str">
        <f t="shared" si="6"/>
        <v>7.4 - REPAIRS &amp; MAINTENANCE</v>
      </c>
      <c r="E72" s="2338"/>
    </row>
    <row r="73" spans="2:5" x14ac:dyDescent="0.2">
      <c r="B73" s="2238">
        <v>7.5</v>
      </c>
      <c r="C73" s="2232" t="s">
        <v>1416</v>
      </c>
      <c r="D73" s="2236" t="str">
        <f t="shared" si="6"/>
        <v>7.5 - CAPITAL EXPENDITURE</v>
      </c>
      <c r="E73" s="2338"/>
    </row>
    <row r="74" spans="2:5" x14ac:dyDescent="0.2">
      <c r="B74" s="2238">
        <v>7.6</v>
      </c>
      <c r="C74" s="2232"/>
      <c r="D74" s="2236" t="str">
        <f t="shared" si="6"/>
        <v xml:space="preserve">7.6 - </v>
      </c>
      <c r="E74" s="2338"/>
    </row>
    <row r="75" spans="2:5" x14ac:dyDescent="0.2">
      <c r="B75" s="2238">
        <v>7.7</v>
      </c>
      <c r="C75" s="2232"/>
      <c r="D75" s="2236" t="str">
        <f t="shared" si="6"/>
        <v xml:space="preserve">7.7 - </v>
      </c>
      <c r="E75" s="2338"/>
    </row>
    <row r="76" spans="2:5" x14ac:dyDescent="0.2">
      <c r="B76" s="2238">
        <v>7.8</v>
      </c>
      <c r="C76" s="2232"/>
      <c r="D76" s="2236" t="str">
        <f t="shared" si="6"/>
        <v xml:space="preserve">7.8 - </v>
      </c>
      <c r="E76" s="2338"/>
    </row>
    <row r="77" spans="2:5" x14ac:dyDescent="0.2">
      <c r="B77" s="2238">
        <v>7.9</v>
      </c>
      <c r="C77" s="2232"/>
      <c r="D77" s="2236" t="str">
        <f t="shared" si="6"/>
        <v xml:space="preserve">7.9 - </v>
      </c>
      <c r="E77" s="2338"/>
    </row>
    <row r="78" spans="2:5" x14ac:dyDescent="0.2">
      <c r="B78" s="2238" t="s">
        <v>1994</v>
      </c>
      <c r="C78" s="2232"/>
      <c r="D78" s="2236" t="str">
        <f t="shared" si="6"/>
        <v xml:space="preserve">7.10 - </v>
      </c>
      <c r="E78" s="2338"/>
    </row>
    <row r="79" spans="2:5" x14ac:dyDescent="0.2">
      <c r="B79" s="2239" t="s">
        <v>1965</v>
      </c>
      <c r="C79" s="2231" t="s">
        <v>2311</v>
      </c>
      <c r="E79" s="2338"/>
    </row>
    <row r="80" spans="2:5" x14ac:dyDescent="0.2">
      <c r="B80" s="2238">
        <v>8.1</v>
      </c>
      <c r="C80" s="2232" t="s">
        <v>2295</v>
      </c>
      <c r="D80" s="2236" t="str">
        <f t="shared" ref="D80:D89" si="7">CONCATENATE(B80, " - ", C80)</f>
        <v>8.1 - INCOME</v>
      </c>
      <c r="E80" s="2338" t="s">
        <v>2011</v>
      </c>
    </row>
    <row r="81" spans="2:5" x14ac:dyDescent="0.2">
      <c r="B81" s="2238">
        <v>8.1999999999999993</v>
      </c>
      <c r="C81" s="2232" t="s">
        <v>2292</v>
      </c>
      <c r="D81" s="2236" t="str">
        <f t="shared" si="7"/>
        <v>8.2 - SALARIES</v>
      </c>
      <c r="E81" s="2338"/>
    </row>
    <row r="82" spans="2:5" x14ac:dyDescent="0.2">
      <c r="B82" s="2238">
        <v>8.3000000000000007</v>
      </c>
      <c r="C82" s="2232" t="s">
        <v>2293</v>
      </c>
      <c r="D82" s="2236" t="str">
        <f t="shared" si="7"/>
        <v>8.3 - GENERAL EXPENDITURE</v>
      </c>
      <c r="E82" s="2338"/>
    </row>
    <row r="83" spans="2:5" x14ac:dyDescent="0.2">
      <c r="B83" s="2238">
        <v>8.4</v>
      </c>
      <c r="C83" s="2232" t="s">
        <v>2294</v>
      </c>
      <c r="D83" s="2236" t="str">
        <f t="shared" si="7"/>
        <v>8.4 - REPAIRS &amp; MAINTENANCE</v>
      </c>
      <c r="E83" s="2338"/>
    </row>
    <row r="84" spans="2:5" x14ac:dyDescent="0.2">
      <c r="B84" s="2238">
        <v>8.5</v>
      </c>
      <c r="C84" s="2232" t="s">
        <v>1416</v>
      </c>
      <c r="D84" s="2236" t="str">
        <f t="shared" si="7"/>
        <v>8.5 - CAPITAL EXPENDITURE</v>
      </c>
      <c r="E84" s="2338"/>
    </row>
    <row r="85" spans="2:5" x14ac:dyDescent="0.2">
      <c r="B85" s="2238">
        <v>8.6</v>
      </c>
      <c r="C85" s="2232"/>
      <c r="D85" s="2236" t="str">
        <f t="shared" si="7"/>
        <v xml:space="preserve">8.6 - </v>
      </c>
      <c r="E85" s="2338"/>
    </row>
    <row r="86" spans="2:5" x14ac:dyDescent="0.2">
      <c r="B86" s="2238">
        <v>8.6999999999999993</v>
      </c>
      <c r="C86" s="2232"/>
      <c r="D86" s="2236" t="str">
        <f t="shared" si="7"/>
        <v xml:space="preserve">8.7 - </v>
      </c>
      <c r="E86" s="2338"/>
    </row>
    <row r="87" spans="2:5" x14ac:dyDescent="0.2">
      <c r="B87" s="2238">
        <v>8.8000000000000007</v>
      </c>
      <c r="C87" s="2232"/>
      <c r="D87" s="2236" t="str">
        <f t="shared" si="7"/>
        <v xml:space="preserve">8.8 - </v>
      </c>
      <c r="E87" s="2338"/>
    </row>
    <row r="88" spans="2:5" x14ac:dyDescent="0.2">
      <c r="B88" s="2238">
        <v>8.9</v>
      </c>
      <c r="C88" s="2232"/>
      <c r="D88" s="2236" t="str">
        <f t="shared" si="7"/>
        <v xml:space="preserve">8.9 - </v>
      </c>
      <c r="E88" s="2338"/>
    </row>
    <row r="89" spans="2:5" x14ac:dyDescent="0.2">
      <c r="B89" s="2238" t="s">
        <v>1995</v>
      </c>
      <c r="C89" s="2232"/>
      <c r="D89" s="2236" t="str">
        <f t="shared" si="7"/>
        <v xml:space="preserve">8.10 - </v>
      </c>
      <c r="E89" s="2338"/>
    </row>
    <row r="90" spans="2:5" x14ac:dyDescent="0.2">
      <c r="B90" s="2239" t="s">
        <v>1966</v>
      </c>
      <c r="C90" s="2231" t="s">
        <v>2315</v>
      </c>
      <c r="E90" s="2338"/>
    </row>
    <row r="91" spans="2:5" x14ac:dyDescent="0.2">
      <c r="B91" s="2238">
        <v>9.1</v>
      </c>
      <c r="C91" s="2232" t="s">
        <v>2295</v>
      </c>
      <c r="D91" s="2236" t="str">
        <f t="shared" ref="D91:D100" si="8">CONCATENATE(B91, " - ", C91)</f>
        <v>9.1 - INCOME</v>
      </c>
      <c r="E91" s="2338" t="s">
        <v>2012</v>
      </c>
    </row>
    <row r="92" spans="2:5" x14ac:dyDescent="0.2">
      <c r="B92" s="2238">
        <v>9.1999999999999993</v>
      </c>
      <c r="C92" s="2232" t="s">
        <v>2292</v>
      </c>
      <c r="D92" s="2236" t="str">
        <f t="shared" si="8"/>
        <v>9.2 - SALARIES</v>
      </c>
      <c r="E92" s="2338"/>
    </row>
    <row r="93" spans="2:5" x14ac:dyDescent="0.2">
      <c r="B93" s="2238">
        <v>9.3000000000000007</v>
      </c>
      <c r="C93" s="2232" t="s">
        <v>2293</v>
      </c>
      <c r="D93" s="2236" t="str">
        <f t="shared" si="8"/>
        <v>9.3 - GENERAL EXPENDITURE</v>
      </c>
      <c r="E93" s="2338"/>
    </row>
    <row r="94" spans="2:5" x14ac:dyDescent="0.2">
      <c r="B94" s="2238">
        <v>9.4</v>
      </c>
      <c r="C94" s="2232" t="s">
        <v>2294</v>
      </c>
      <c r="D94" s="2236" t="str">
        <f t="shared" si="8"/>
        <v>9.4 - REPAIRS &amp; MAINTENANCE</v>
      </c>
      <c r="E94" s="2338"/>
    </row>
    <row r="95" spans="2:5" x14ac:dyDescent="0.2">
      <c r="B95" s="2238">
        <v>9.5</v>
      </c>
      <c r="C95" s="2232" t="s">
        <v>1416</v>
      </c>
      <c r="D95" s="2236" t="str">
        <f t="shared" si="8"/>
        <v>9.5 - CAPITAL EXPENDITURE</v>
      </c>
      <c r="E95" s="2338"/>
    </row>
    <row r="96" spans="2:5" x14ac:dyDescent="0.2">
      <c r="B96" s="2238">
        <v>9.6</v>
      </c>
      <c r="C96" s="2232"/>
      <c r="D96" s="2236" t="str">
        <f t="shared" si="8"/>
        <v xml:space="preserve">9.6 - </v>
      </c>
      <c r="E96" s="2338"/>
    </row>
    <row r="97" spans="2:5" x14ac:dyDescent="0.2">
      <c r="B97" s="2238">
        <v>9.6999999999999993</v>
      </c>
      <c r="C97" s="2232"/>
      <c r="D97" s="2236" t="str">
        <f t="shared" si="8"/>
        <v xml:space="preserve">9.7 - </v>
      </c>
      <c r="E97" s="2338"/>
    </row>
    <row r="98" spans="2:5" x14ac:dyDescent="0.2">
      <c r="B98" s="2238">
        <v>9.8000000000000007</v>
      </c>
      <c r="C98" s="2232"/>
      <c r="D98" s="2236" t="str">
        <f t="shared" si="8"/>
        <v xml:space="preserve">9.8 - </v>
      </c>
      <c r="E98" s="2338"/>
    </row>
    <row r="99" spans="2:5" x14ac:dyDescent="0.2">
      <c r="B99" s="2238">
        <v>9.9</v>
      </c>
      <c r="C99" s="2232"/>
      <c r="D99" s="2236" t="str">
        <f t="shared" si="8"/>
        <v xml:space="preserve">9.9 - </v>
      </c>
      <c r="E99" s="2338"/>
    </row>
    <row r="100" spans="2:5" x14ac:dyDescent="0.2">
      <c r="B100" s="2238" t="s">
        <v>1996</v>
      </c>
      <c r="C100" s="2232"/>
      <c r="D100" s="2236" t="str">
        <f t="shared" si="8"/>
        <v xml:space="preserve">9.10 - </v>
      </c>
      <c r="E100" s="2338"/>
    </row>
    <row r="101" spans="2:5" x14ac:dyDescent="0.2">
      <c r="B101" s="2239" t="s">
        <v>1967</v>
      </c>
      <c r="C101" s="2231" t="s">
        <v>2316</v>
      </c>
      <c r="E101" s="2338"/>
    </row>
    <row r="102" spans="2:5" x14ac:dyDescent="0.2">
      <c r="B102" s="2238">
        <v>10.1</v>
      </c>
      <c r="C102" s="2232" t="s">
        <v>2292</v>
      </c>
      <c r="D102" s="2236" t="str">
        <f t="shared" ref="D102:D111" si="9">CONCATENATE(B102, " - ", C102)</f>
        <v>10.1 - SALARIES</v>
      </c>
      <c r="E102" s="2338" t="s">
        <v>2013</v>
      </c>
    </row>
    <row r="103" spans="2:5" x14ac:dyDescent="0.2">
      <c r="B103" s="2238">
        <v>10.199999999999999</v>
      </c>
      <c r="C103" s="2232" t="s">
        <v>2293</v>
      </c>
      <c r="D103" s="2236" t="str">
        <f t="shared" si="9"/>
        <v>10.2 - GENERAL EXPENDITURE</v>
      </c>
      <c r="E103" s="2338"/>
    </row>
    <row r="104" spans="2:5" x14ac:dyDescent="0.2">
      <c r="B104" s="2238">
        <v>10.3</v>
      </c>
      <c r="C104" s="2232" t="s">
        <v>2294</v>
      </c>
      <c r="D104" s="2236" t="str">
        <f t="shared" si="9"/>
        <v>10.3 - REPAIRS &amp; MAINTENANCE</v>
      </c>
      <c r="E104" s="2338"/>
    </row>
    <row r="105" spans="2:5" x14ac:dyDescent="0.2">
      <c r="B105" s="2238">
        <v>10.4</v>
      </c>
      <c r="C105" s="2232" t="s">
        <v>1416</v>
      </c>
      <c r="D105" s="2236" t="str">
        <f t="shared" si="9"/>
        <v>10.4 - CAPITAL EXPENDITURE</v>
      </c>
      <c r="E105" s="2338"/>
    </row>
    <row r="106" spans="2:5" x14ac:dyDescent="0.2">
      <c r="B106" s="2238">
        <v>10.5</v>
      </c>
      <c r="C106" s="2232"/>
      <c r="D106" s="2236" t="str">
        <f t="shared" si="9"/>
        <v xml:space="preserve">10.5 - </v>
      </c>
      <c r="E106" s="2338"/>
    </row>
    <row r="107" spans="2:5" x14ac:dyDescent="0.2">
      <c r="B107" s="2238">
        <v>10.6</v>
      </c>
      <c r="C107" s="2232"/>
      <c r="D107" s="2236" t="str">
        <f t="shared" si="9"/>
        <v xml:space="preserve">10.6 - </v>
      </c>
      <c r="E107" s="2338"/>
    </row>
    <row r="108" spans="2:5" x14ac:dyDescent="0.2">
      <c r="B108" s="2238">
        <v>10.7</v>
      </c>
      <c r="C108" s="2232"/>
      <c r="D108" s="2236" t="str">
        <f t="shared" si="9"/>
        <v xml:space="preserve">10.7 - </v>
      </c>
      <c r="E108" s="2338"/>
    </row>
    <row r="109" spans="2:5" x14ac:dyDescent="0.2">
      <c r="B109" s="2238">
        <v>10.8</v>
      </c>
      <c r="C109" s="2232"/>
      <c r="D109" s="2236" t="str">
        <f t="shared" si="9"/>
        <v xml:space="preserve">10.8 - </v>
      </c>
      <c r="E109" s="2338"/>
    </row>
    <row r="110" spans="2:5" x14ac:dyDescent="0.2">
      <c r="B110" s="2238">
        <v>10.9</v>
      </c>
      <c r="C110" s="2232"/>
      <c r="D110" s="2236" t="str">
        <f t="shared" si="9"/>
        <v xml:space="preserve">10.9 - </v>
      </c>
      <c r="E110" s="2338"/>
    </row>
    <row r="111" spans="2:5" x14ac:dyDescent="0.2">
      <c r="B111" s="2238" t="s">
        <v>1997</v>
      </c>
      <c r="C111" s="2232"/>
      <c r="D111" s="2236" t="str">
        <f t="shared" si="9"/>
        <v xml:space="preserve">10.10 - </v>
      </c>
      <c r="E111" s="2338"/>
    </row>
    <row r="112" spans="2:5" x14ac:dyDescent="0.2">
      <c r="B112" s="2239" t="s">
        <v>1968</v>
      </c>
      <c r="C112" s="2231" t="s">
        <v>2312</v>
      </c>
      <c r="E112" s="2338"/>
    </row>
    <row r="113" spans="2:5" x14ac:dyDescent="0.2">
      <c r="B113" s="2238">
        <v>11.1</v>
      </c>
      <c r="C113" s="2232" t="s">
        <v>2292</v>
      </c>
      <c r="D113" s="2236" t="str">
        <f t="shared" ref="D113:D122" si="10">CONCATENATE(B113, " - ", C113)</f>
        <v>11.1 - SALARIES</v>
      </c>
      <c r="E113" s="2338" t="s">
        <v>2014</v>
      </c>
    </row>
    <row r="114" spans="2:5" x14ac:dyDescent="0.2">
      <c r="B114" s="2238">
        <v>11.2</v>
      </c>
      <c r="C114" s="2232" t="s">
        <v>2293</v>
      </c>
      <c r="D114" s="2236" t="str">
        <f t="shared" si="10"/>
        <v>11.2 - GENERAL EXPENDITURE</v>
      </c>
      <c r="E114" s="2338"/>
    </row>
    <row r="115" spans="2:5" x14ac:dyDescent="0.2">
      <c r="B115" s="2238">
        <v>11.3</v>
      </c>
      <c r="C115" s="2232" t="s">
        <v>2294</v>
      </c>
      <c r="D115" s="2236" t="str">
        <f t="shared" si="10"/>
        <v>11.3 - REPAIRS &amp; MAINTENANCE</v>
      </c>
      <c r="E115" s="2338"/>
    </row>
    <row r="116" spans="2:5" x14ac:dyDescent="0.2">
      <c r="B116" s="2238">
        <v>11.4</v>
      </c>
      <c r="C116" s="2232" t="s">
        <v>1416</v>
      </c>
      <c r="D116" s="2236" t="str">
        <f t="shared" si="10"/>
        <v>11.4 - CAPITAL EXPENDITURE</v>
      </c>
      <c r="E116" s="2338"/>
    </row>
    <row r="117" spans="2:5" x14ac:dyDescent="0.2">
      <c r="B117" s="2238">
        <v>11.5</v>
      </c>
      <c r="C117" s="2232"/>
      <c r="D117" s="2236" t="str">
        <f t="shared" si="10"/>
        <v xml:space="preserve">11.5 - </v>
      </c>
      <c r="E117" s="2338"/>
    </row>
    <row r="118" spans="2:5" x14ac:dyDescent="0.2">
      <c r="B118" s="2238">
        <v>11.6</v>
      </c>
      <c r="C118" s="2232"/>
      <c r="D118" s="2236" t="str">
        <f t="shared" si="10"/>
        <v xml:space="preserve">11.6 - </v>
      </c>
      <c r="E118" s="2338"/>
    </row>
    <row r="119" spans="2:5" x14ac:dyDescent="0.2">
      <c r="B119" s="2238">
        <v>11.7</v>
      </c>
      <c r="C119" s="2232"/>
      <c r="D119" s="2236" t="str">
        <f t="shared" si="10"/>
        <v xml:space="preserve">11.7 - </v>
      </c>
      <c r="E119" s="2338"/>
    </row>
    <row r="120" spans="2:5" x14ac:dyDescent="0.2">
      <c r="B120" s="2238">
        <v>11.8</v>
      </c>
      <c r="C120" s="2232"/>
      <c r="D120" s="2236" t="str">
        <f t="shared" si="10"/>
        <v xml:space="preserve">11.8 - </v>
      </c>
      <c r="E120" s="2338"/>
    </row>
    <row r="121" spans="2:5" x14ac:dyDescent="0.2">
      <c r="B121" s="2238">
        <v>11.9</v>
      </c>
      <c r="C121" s="2232"/>
      <c r="D121" s="2236" t="str">
        <f t="shared" si="10"/>
        <v xml:space="preserve">11.9 - </v>
      </c>
      <c r="E121" s="2338"/>
    </row>
    <row r="122" spans="2:5" x14ac:dyDescent="0.2">
      <c r="B122" s="2238" t="s">
        <v>1998</v>
      </c>
      <c r="C122" s="2232"/>
      <c r="D122" s="2236" t="str">
        <f t="shared" si="10"/>
        <v xml:space="preserve">11.10 - </v>
      </c>
      <c r="E122" s="2338"/>
    </row>
    <row r="123" spans="2:5" x14ac:dyDescent="0.2">
      <c r="B123" s="2239" t="s">
        <v>1969</v>
      </c>
      <c r="C123" s="2231" t="s">
        <v>2313</v>
      </c>
      <c r="E123" s="2338"/>
    </row>
    <row r="124" spans="2:5" x14ac:dyDescent="0.2">
      <c r="B124" s="2238">
        <v>12.1</v>
      </c>
      <c r="C124" s="2232" t="s">
        <v>2295</v>
      </c>
      <c r="D124" s="2236" t="str">
        <f t="shared" ref="D124:D133" si="11">CONCATENATE(B124, " - ", C124)</f>
        <v>12.1 - INCOME</v>
      </c>
      <c r="E124" s="2338" t="s">
        <v>2015</v>
      </c>
    </row>
    <row r="125" spans="2:5" x14ac:dyDescent="0.2">
      <c r="B125" s="2238">
        <v>12.2</v>
      </c>
      <c r="C125" s="2232" t="s">
        <v>2292</v>
      </c>
      <c r="D125" s="2236" t="str">
        <f t="shared" si="11"/>
        <v>12.2 - SALARIES</v>
      </c>
      <c r="E125" s="2338"/>
    </row>
    <row r="126" spans="2:5" x14ac:dyDescent="0.2">
      <c r="B126" s="2238">
        <v>12.3</v>
      </c>
      <c r="C126" s="2232" t="s">
        <v>2293</v>
      </c>
      <c r="D126" s="2236" t="str">
        <f t="shared" si="11"/>
        <v>12.3 - GENERAL EXPENDITURE</v>
      </c>
      <c r="E126" s="2338"/>
    </row>
    <row r="127" spans="2:5" x14ac:dyDescent="0.2">
      <c r="B127" s="2238">
        <v>12.4</v>
      </c>
      <c r="C127" s="2232" t="s">
        <v>2294</v>
      </c>
      <c r="D127" s="2236" t="str">
        <f t="shared" si="11"/>
        <v>12.4 - REPAIRS &amp; MAINTENANCE</v>
      </c>
      <c r="E127" s="2338"/>
    </row>
    <row r="128" spans="2:5" x14ac:dyDescent="0.2">
      <c r="B128" s="2238">
        <v>12.5</v>
      </c>
      <c r="C128" s="2232" t="s">
        <v>1416</v>
      </c>
      <c r="D128" s="2236" t="str">
        <f t="shared" si="11"/>
        <v>12.5 - CAPITAL EXPENDITURE</v>
      </c>
      <c r="E128" s="2338"/>
    </row>
    <row r="129" spans="2:5" x14ac:dyDescent="0.2">
      <c r="B129" s="2238">
        <v>12.6</v>
      </c>
      <c r="C129" s="2232"/>
      <c r="D129" s="2236" t="str">
        <f t="shared" si="11"/>
        <v xml:space="preserve">12.6 - </v>
      </c>
      <c r="E129" s="2338"/>
    </row>
    <row r="130" spans="2:5" x14ac:dyDescent="0.2">
      <c r="B130" s="2238">
        <v>12.7</v>
      </c>
      <c r="C130" s="2232"/>
      <c r="D130" s="2236" t="str">
        <f t="shared" si="11"/>
        <v xml:space="preserve">12.7 - </v>
      </c>
      <c r="E130" s="2338"/>
    </row>
    <row r="131" spans="2:5" x14ac:dyDescent="0.2">
      <c r="B131" s="2238">
        <v>12.8</v>
      </c>
      <c r="C131" s="2232"/>
      <c r="D131" s="2236" t="str">
        <f t="shared" si="11"/>
        <v xml:space="preserve">12.8 - </v>
      </c>
      <c r="E131" s="2338"/>
    </row>
    <row r="132" spans="2:5" x14ac:dyDescent="0.2">
      <c r="B132" s="2238">
        <v>12.9</v>
      </c>
      <c r="C132" s="2232"/>
      <c r="D132" s="2236" t="str">
        <f t="shared" si="11"/>
        <v xml:space="preserve">12.9 - </v>
      </c>
      <c r="E132" s="2338"/>
    </row>
    <row r="133" spans="2:5" x14ac:dyDescent="0.2">
      <c r="B133" s="2238" t="s">
        <v>1999</v>
      </c>
      <c r="C133" s="2232"/>
      <c r="D133" s="2236" t="str">
        <f t="shared" si="11"/>
        <v xml:space="preserve">12.10 - </v>
      </c>
      <c r="E133" s="2338"/>
    </row>
    <row r="134" spans="2:5" x14ac:dyDescent="0.2">
      <c r="B134" s="2239" t="s">
        <v>1970</v>
      </c>
      <c r="C134" s="2231" t="s">
        <v>2314</v>
      </c>
      <c r="E134" s="2338"/>
    </row>
    <row r="135" spans="2:5" x14ac:dyDescent="0.2">
      <c r="B135" s="2238">
        <v>13.1</v>
      </c>
      <c r="C135" s="2232" t="s">
        <v>2295</v>
      </c>
      <c r="D135" s="2236" t="str">
        <f t="shared" ref="D135:D144" si="12">CONCATENATE(B135, " - ", C135)</f>
        <v>13.1 - INCOME</v>
      </c>
      <c r="E135" s="2338" t="s">
        <v>2016</v>
      </c>
    </row>
    <row r="136" spans="2:5" x14ac:dyDescent="0.2">
      <c r="B136" s="2238">
        <v>13.2</v>
      </c>
      <c r="C136" s="2232" t="s">
        <v>2292</v>
      </c>
      <c r="D136" s="2236" t="str">
        <f t="shared" si="12"/>
        <v>13.2 - SALARIES</v>
      </c>
      <c r="E136" s="2338"/>
    </row>
    <row r="137" spans="2:5" x14ac:dyDescent="0.2">
      <c r="B137" s="2238">
        <v>13.3</v>
      </c>
      <c r="C137" s="2232" t="s">
        <v>2293</v>
      </c>
      <c r="D137" s="2236" t="str">
        <f t="shared" si="12"/>
        <v>13.3 - GENERAL EXPENDITURE</v>
      </c>
      <c r="E137" s="2338"/>
    </row>
    <row r="138" spans="2:5" x14ac:dyDescent="0.2">
      <c r="B138" s="2238">
        <v>13.4</v>
      </c>
      <c r="C138" s="2232" t="s">
        <v>2294</v>
      </c>
      <c r="D138" s="2236" t="str">
        <f t="shared" si="12"/>
        <v>13.4 - REPAIRS &amp; MAINTENANCE</v>
      </c>
      <c r="E138" s="2338"/>
    </row>
    <row r="139" spans="2:5" x14ac:dyDescent="0.2">
      <c r="B139" s="2238">
        <v>13.5</v>
      </c>
      <c r="C139" s="2232" t="s">
        <v>1416</v>
      </c>
      <c r="D139" s="2236" t="str">
        <f t="shared" si="12"/>
        <v>13.5 - CAPITAL EXPENDITURE</v>
      </c>
      <c r="E139" s="2338"/>
    </row>
    <row r="140" spans="2:5" x14ac:dyDescent="0.2">
      <c r="B140" s="2238">
        <v>13.6</v>
      </c>
      <c r="C140" s="2232"/>
      <c r="D140" s="2236" t="str">
        <f t="shared" si="12"/>
        <v xml:space="preserve">13.6 - </v>
      </c>
      <c r="E140" s="2338"/>
    </row>
    <row r="141" spans="2:5" x14ac:dyDescent="0.2">
      <c r="B141" s="2238">
        <v>13.7</v>
      </c>
      <c r="C141" s="2232"/>
      <c r="D141" s="2236" t="str">
        <f t="shared" si="12"/>
        <v xml:space="preserve">13.7 - </v>
      </c>
      <c r="E141" s="2338"/>
    </row>
    <row r="142" spans="2:5" x14ac:dyDescent="0.2">
      <c r="B142" s="2238">
        <v>13.8</v>
      </c>
      <c r="C142" s="2232"/>
      <c r="D142" s="2236" t="str">
        <f t="shared" si="12"/>
        <v xml:space="preserve">13.8 - </v>
      </c>
      <c r="E142" s="2338"/>
    </row>
    <row r="143" spans="2:5" x14ac:dyDescent="0.2">
      <c r="B143" s="2238">
        <v>13.9</v>
      </c>
      <c r="C143" s="2232"/>
      <c r="D143" s="2236" t="str">
        <f t="shared" si="12"/>
        <v xml:space="preserve">13.9 - </v>
      </c>
      <c r="E143" s="2338"/>
    </row>
    <row r="144" spans="2:5" x14ac:dyDescent="0.2">
      <c r="B144" s="2238" t="s">
        <v>2000</v>
      </c>
      <c r="C144" s="2232"/>
      <c r="D144" s="2236" t="str">
        <f t="shared" si="12"/>
        <v xml:space="preserve">13.10 - </v>
      </c>
      <c r="E144" s="2338"/>
    </row>
    <row r="145" spans="2:5" x14ac:dyDescent="0.2">
      <c r="B145" s="2239" t="s">
        <v>1971</v>
      </c>
      <c r="C145" s="2231" t="s">
        <v>2369</v>
      </c>
      <c r="E145" s="2338"/>
    </row>
    <row r="146" spans="2:5" x14ac:dyDescent="0.2">
      <c r="B146" s="2238">
        <v>14.1</v>
      </c>
      <c r="C146" s="2232" t="s">
        <v>2295</v>
      </c>
      <c r="D146" s="2236" t="str">
        <f t="shared" ref="D146:D155" si="13">CONCATENATE(B146, " - ", C146)</f>
        <v>14.1 - INCOME</v>
      </c>
      <c r="E146" s="2338" t="s">
        <v>2017</v>
      </c>
    </row>
    <row r="147" spans="2:5" x14ac:dyDescent="0.2">
      <c r="B147" s="2238">
        <v>14.2</v>
      </c>
      <c r="C147" s="2232" t="s">
        <v>2292</v>
      </c>
      <c r="D147" s="2236" t="str">
        <f t="shared" si="13"/>
        <v>14.2 - SALARIES</v>
      </c>
      <c r="E147" s="2338"/>
    </row>
    <row r="148" spans="2:5" x14ac:dyDescent="0.2">
      <c r="B148" s="2238">
        <v>14.3</v>
      </c>
      <c r="C148" s="2232" t="s">
        <v>2293</v>
      </c>
      <c r="D148" s="2236" t="str">
        <f t="shared" si="13"/>
        <v>14.3 - GENERAL EXPENDITURE</v>
      </c>
      <c r="E148" s="2338"/>
    </row>
    <row r="149" spans="2:5" x14ac:dyDescent="0.2">
      <c r="B149" s="2238">
        <v>14.4</v>
      </c>
      <c r="C149" s="2232" t="s">
        <v>2294</v>
      </c>
      <c r="D149" s="2236" t="str">
        <f t="shared" si="13"/>
        <v>14.4 - REPAIRS &amp; MAINTENANCE</v>
      </c>
      <c r="E149" s="2338"/>
    </row>
    <row r="150" spans="2:5" x14ac:dyDescent="0.2">
      <c r="B150" s="2238">
        <v>14.5</v>
      </c>
      <c r="C150" s="2232" t="s">
        <v>1416</v>
      </c>
      <c r="D150" s="2236" t="str">
        <f t="shared" si="13"/>
        <v>14.5 - CAPITAL EXPENDITURE</v>
      </c>
      <c r="E150" s="2338"/>
    </row>
    <row r="151" spans="2:5" x14ac:dyDescent="0.2">
      <c r="B151" s="2238">
        <v>14.6</v>
      </c>
      <c r="C151" s="2232"/>
      <c r="D151" s="2236" t="str">
        <f t="shared" si="13"/>
        <v xml:space="preserve">14.6 - </v>
      </c>
      <c r="E151" s="2338"/>
    </row>
    <row r="152" spans="2:5" x14ac:dyDescent="0.2">
      <c r="B152" s="2238">
        <v>14.7</v>
      </c>
      <c r="C152" s="2232"/>
      <c r="D152" s="2236" t="str">
        <f t="shared" si="13"/>
        <v xml:space="preserve">14.7 - </v>
      </c>
      <c r="E152" s="2338"/>
    </row>
    <row r="153" spans="2:5" x14ac:dyDescent="0.2">
      <c r="B153" s="2238">
        <v>14.8</v>
      </c>
      <c r="C153" s="2232"/>
      <c r="D153" s="2236" t="str">
        <f t="shared" si="13"/>
        <v xml:space="preserve">14.8 - </v>
      </c>
      <c r="E153" s="2338"/>
    </row>
    <row r="154" spans="2:5" x14ac:dyDescent="0.2">
      <c r="B154" s="2238">
        <v>14.9</v>
      </c>
      <c r="C154" s="2232"/>
      <c r="D154" s="2236" t="str">
        <f t="shared" si="13"/>
        <v xml:space="preserve">14.9 - </v>
      </c>
      <c r="E154" s="2338"/>
    </row>
    <row r="155" spans="2:5" x14ac:dyDescent="0.2">
      <c r="B155" s="2238" t="s">
        <v>2001</v>
      </c>
      <c r="C155" s="2232"/>
      <c r="D155" s="2236" t="str">
        <f t="shared" si="13"/>
        <v xml:space="preserve">14.10 - </v>
      </c>
      <c r="E155" s="2338"/>
    </row>
    <row r="156" spans="2:5" x14ac:dyDescent="0.2">
      <c r="B156" s="2239" t="s">
        <v>1972</v>
      </c>
      <c r="C156" s="2231" t="s">
        <v>2368</v>
      </c>
      <c r="E156" s="2338"/>
    </row>
    <row r="157" spans="2:5" x14ac:dyDescent="0.2">
      <c r="B157" s="2238">
        <v>15.1</v>
      </c>
      <c r="C157" s="2232" t="s">
        <v>2292</v>
      </c>
      <c r="D157" s="2236" t="str">
        <f t="shared" ref="D157:D166" si="14">CONCATENATE(B157, " - ", C157)</f>
        <v>15.1 - SALARIES</v>
      </c>
      <c r="E157" s="2338" t="s">
        <v>2018</v>
      </c>
    </row>
    <row r="158" spans="2:5" x14ac:dyDescent="0.2">
      <c r="B158" s="2238">
        <v>15.2</v>
      </c>
      <c r="C158" s="2232" t="s">
        <v>2293</v>
      </c>
      <c r="D158" s="2236" t="str">
        <f t="shared" si="14"/>
        <v>15.2 - GENERAL EXPENDITURE</v>
      </c>
      <c r="E158" s="2338"/>
    </row>
    <row r="159" spans="2:5" x14ac:dyDescent="0.2">
      <c r="B159" s="2238">
        <v>15.3</v>
      </c>
      <c r="C159" s="2232" t="s">
        <v>2294</v>
      </c>
      <c r="D159" s="2236" t="str">
        <f t="shared" si="14"/>
        <v>15.3 - REPAIRS &amp; MAINTENANCE</v>
      </c>
      <c r="E159" s="2338"/>
    </row>
    <row r="160" spans="2:5" x14ac:dyDescent="0.2">
      <c r="B160" s="2238">
        <v>15.4</v>
      </c>
      <c r="C160" s="2232" t="s">
        <v>1416</v>
      </c>
      <c r="D160" s="2236" t="str">
        <f t="shared" si="14"/>
        <v>15.4 - CAPITAL EXPENDITURE</v>
      </c>
      <c r="E160" s="2338"/>
    </row>
    <row r="161" spans="2:5" x14ac:dyDescent="0.2">
      <c r="B161" s="2238">
        <v>15.5</v>
      </c>
      <c r="C161" s="2232"/>
      <c r="D161" s="2236" t="str">
        <f t="shared" si="14"/>
        <v xml:space="preserve">15.5 - </v>
      </c>
      <c r="E161" s="2338"/>
    </row>
    <row r="162" spans="2:5" x14ac:dyDescent="0.2">
      <c r="B162" s="2238">
        <v>15.6</v>
      </c>
      <c r="C162" s="2232"/>
      <c r="D162" s="2236" t="str">
        <f t="shared" si="14"/>
        <v xml:space="preserve">15.6 - </v>
      </c>
      <c r="E162" s="2338"/>
    </row>
    <row r="163" spans="2:5" x14ac:dyDescent="0.2">
      <c r="B163" s="2238">
        <v>15.7</v>
      </c>
      <c r="C163" s="2232"/>
      <c r="D163" s="2236" t="str">
        <f t="shared" si="14"/>
        <v xml:space="preserve">15.7 - </v>
      </c>
      <c r="E163" s="2338"/>
    </row>
    <row r="164" spans="2:5" x14ac:dyDescent="0.2">
      <c r="B164" s="2238">
        <v>15.8</v>
      </c>
      <c r="C164" s="2232"/>
      <c r="D164" s="2236" t="str">
        <f t="shared" si="14"/>
        <v xml:space="preserve">15.8 - </v>
      </c>
      <c r="E164" s="2338"/>
    </row>
    <row r="165" spans="2:5" x14ac:dyDescent="0.2">
      <c r="B165" s="2238">
        <v>15.9</v>
      </c>
      <c r="C165" s="2232"/>
      <c r="D165" s="2236" t="str">
        <f t="shared" si="14"/>
        <v xml:space="preserve">15.9 - </v>
      </c>
      <c r="E165" s="2338"/>
    </row>
    <row r="166" spans="2:5" x14ac:dyDescent="0.2">
      <c r="B166" s="2238" t="s">
        <v>2002</v>
      </c>
      <c r="C166" s="2232"/>
      <c r="D166" s="2236" t="str">
        <f t="shared" si="14"/>
        <v xml:space="preserve">15.10 - </v>
      </c>
      <c r="E166" s="2338"/>
    </row>
  </sheetData>
  <customSheetViews>
    <customSheetView guid="{F50C5479-5CC4-4FD7-8319-543D29E829F0}" showGridLines="0" hiddenColumns="1" topLeftCell="A99">
      <selection activeCell="C115" sqref="C115"/>
      <pageMargins left="0.75" right="0.75" top="1" bottom="1" header="0.5" footer="0.5"/>
      <pageSetup paperSize="9" scale="37" orientation="portrait" r:id="rId1"/>
      <headerFooter alignWithMargins="0"/>
    </customSheetView>
  </customSheetViews>
  <phoneticPr fontId="2"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paperSize="9" scale="37" orientation="portrait" r:id="rId2"/>
  <headerFooter alignWithMargins="0"/>
  <ignoredErrors>
    <ignoredError sqref="B12 B23 B34 B45 B56 B67 B78 B89 B100 B111 B122 B133 B144 B155 B166" numberStoredAsText="1"/>
  </ignoredErrors>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42"/>
    <pageSetUpPr fitToPage="1"/>
  </sheetPr>
  <dimension ref="A1:T40"/>
  <sheetViews>
    <sheetView showGridLines="0" zoomScaleNormal="100" workbookViewId="0">
      <pane xSplit="2" ySplit="3" topLeftCell="F19" activePane="bottomRight" state="frozen"/>
      <selection activeCell="F35" sqref="F35"/>
      <selection pane="topRight" activeCell="F35" sqref="F35"/>
      <selection pane="bottomLeft" activeCell="F35" sqref="F35"/>
      <selection pane="bottomRight" activeCell="S14" sqref="S14:T22"/>
    </sheetView>
  </sheetViews>
  <sheetFormatPr defaultRowHeight="12.75" x14ac:dyDescent="0.25"/>
  <cols>
    <col min="1" max="1" width="30.7109375" style="149" customWidth="1"/>
    <col min="2" max="2" width="3" style="149" customWidth="1"/>
    <col min="3" max="14" width="8.28515625" style="149" customWidth="1"/>
    <col min="15" max="17" width="9.28515625" style="149" customWidth="1"/>
    <col min="18" max="16384" width="9.140625" style="149"/>
  </cols>
  <sheetData>
    <row r="1" spans="1:18" ht="13.5" customHeight="1" x14ac:dyDescent="0.25">
      <c r="A1" s="147" t="str">
        <f>muni&amp;" - "&amp; TableA29</f>
        <v>MP315 Thembisile Hani - Supporting Table SA29 Budgeted monthly capital expenditure (standard classification)</v>
      </c>
      <c r="B1" s="147"/>
      <c r="C1" s="147"/>
      <c r="D1" s="147"/>
      <c r="E1" s="147"/>
      <c r="F1" s="147"/>
      <c r="G1" s="147"/>
      <c r="H1" s="147"/>
      <c r="I1" s="147"/>
      <c r="J1" s="147"/>
      <c r="K1" s="147"/>
      <c r="L1" s="147"/>
      <c r="M1" s="147"/>
      <c r="N1" s="147"/>
      <c r="O1" s="147"/>
      <c r="P1" s="147"/>
      <c r="Q1" s="147"/>
    </row>
    <row r="2" spans="1:18" ht="27" customHeight="1" x14ac:dyDescent="0.25">
      <c r="A2" s="980" t="str">
        <f>desc</f>
        <v>Description</v>
      </c>
      <c r="B2" s="992" t="str">
        <f>head27</f>
        <v>Ref</v>
      </c>
      <c r="C2" s="2766" t="str">
        <f>Head9</f>
        <v>Budget Year 2015/16</v>
      </c>
      <c r="D2" s="2767"/>
      <c r="E2" s="2767"/>
      <c r="F2" s="2767"/>
      <c r="G2" s="2767"/>
      <c r="H2" s="2767"/>
      <c r="I2" s="2767"/>
      <c r="J2" s="2767"/>
      <c r="K2" s="2767"/>
      <c r="L2" s="2767"/>
      <c r="M2" s="2767"/>
      <c r="N2" s="2767"/>
      <c r="O2" s="2763" t="s">
        <v>1785</v>
      </c>
      <c r="P2" s="2764"/>
      <c r="Q2" s="2765"/>
    </row>
    <row r="3" spans="1:18" ht="25.5" x14ac:dyDescent="0.25">
      <c r="A3" s="180" t="s">
        <v>662</v>
      </c>
      <c r="B3" s="993"/>
      <c r="C3" s="299" t="s">
        <v>720</v>
      </c>
      <c r="D3" s="923" t="s">
        <v>1398</v>
      </c>
      <c r="E3" s="923" t="s">
        <v>1399</v>
      </c>
      <c r="F3" s="923" t="s">
        <v>1400</v>
      </c>
      <c r="G3" s="923" t="s">
        <v>420</v>
      </c>
      <c r="H3" s="923" t="s">
        <v>421</v>
      </c>
      <c r="I3" s="923" t="s">
        <v>703</v>
      </c>
      <c r="J3" s="923" t="s">
        <v>422</v>
      </c>
      <c r="K3" s="923" t="s">
        <v>705</v>
      </c>
      <c r="L3" s="923" t="s">
        <v>706</v>
      </c>
      <c r="M3" s="923" t="s">
        <v>707</v>
      </c>
      <c r="N3" s="388" t="s">
        <v>708</v>
      </c>
      <c r="O3" s="299" t="str">
        <f>Head9</f>
        <v>Budget Year 2015/16</v>
      </c>
      <c r="P3" s="389" t="str">
        <f>Head10</f>
        <v>Budget Year +1 2016/17</v>
      </c>
      <c r="Q3" s="390" t="str">
        <f>Head11</f>
        <v>Budget Year +2 2017/18</v>
      </c>
    </row>
    <row r="4" spans="1:18" x14ac:dyDescent="0.25">
      <c r="A4" s="249" t="str">
        <f>'A5-Capex'!A42</f>
        <v>Capital Expenditure - Standard</v>
      </c>
      <c r="B4" s="989">
        <v>1</v>
      </c>
      <c r="C4" s="205"/>
      <c r="D4" s="203"/>
      <c r="E4" s="203"/>
      <c r="F4" s="203"/>
      <c r="G4" s="203"/>
      <c r="H4" s="203"/>
      <c r="I4" s="203"/>
      <c r="J4" s="203"/>
      <c r="K4" s="203"/>
      <c r="L4" s="203"/>
      <c r="M4" s="203"/>
      <c r="N4" s="202"/>
      <c r="O4" s="205"/>
      <c r="P4" s="203"/>
      <c r="Q4" s="204"/>
    </row>
    <row r="5" spans="1:18" x14ac:dyDescent="0.25">
      <c r="A5" s="1266" t="str">
        <f>'A5-Capex'!A43</f>
        <v>Governance and administration</v>
      </c>
      <c r="B5" s="859"/>
      <c r="C5" s="1128">
        <f>SUM(C6:C8)</f>
        <v>0</v>
      </c>
      <c r="D5" s="1126">
        <f>SUM(D6:D8)</f>
        <v>0</v>
      </c>
      <c r="E5" s="1126">
        <f t="shared" ref="E5:M5" si="0">SUM(E6:E8)</f>
        <v>0</v>
      </c>
      <c r="F5" s="1126">
        <f t="shared" si="0"/>
        <v>0</v>
      </c>
      <c r="G5" s="1126">
        <f t="shared" si="0"/>
        <v>0</v>
      </c>
      <c r="H5" s="1126">
        <f t="shared" si="0"/>
        <v>0</v>
      </c>
      <c r="I5" s="1126">
        <f t="shared" si="0"/>
        <v>0</v>
      </c>
      <c r="J5" s="1126">
        <f t="shared" si="0"/>
        <v>0</v>
      </c>
      <c r="K5" s="1126">
        <f t="shared" si="0"/>
        <v>0</v>
      </c>
      <c r="L5" s="1126">
        <f t="shared" si="0"/>
        <v>0</v>
      </c>
      <c r="M5" s="1126">
        <f t="shared" si="0"/>
        <v>0</v>
      </c>
      <c r="N5" s="217">
        <f>O5-SUM(C5:M5)</f>
        <v>0</v>
      </c>
      <c r="O5" s="220">
        <f>'A5-Capex'!J43</f>
        <v>0</v>
      </c>
      <c r="P5" s="218">
        <f>'A5-Capex'!K43</f>
        <v>0</v>
      </c>
      <c r="Q5" s="345">
        <f>'A5-Capex'!L43</f>
        <v>0</v>
      </c>
      <c r="R5" s="369"/>
    </row>
    <row r="6" spans="1:18" x14ac:dyDescent="0.25">
      <c r="A6" s="1267" t="str">
        <f>'A5-Capex'!A44</f>
        <v>Executive and council</v>
      </c>
      <c r="B6" s="859"/>
      <c r="C6" s="1629"/>
      <c r="D6" s="1606"/>
      <c r="E6" s="1606"/>
      <c r="F6" s="1606"/>
      <c r="G6" s="1606"/>
      <c r="H6" s="1606"/>
      <c r="I6" s="1606"/>
      <c r="J6" s="1606"/>
      <c r="K6" s="1606"/>
      <c r="L6" s="1606"/>
      <c r="M6" s="1606"/>
      <c r="N6" s="202">
        <f t="shared" ref="N6:N23" si="1">O6-SUM(C6:M6)</f>
        <v>0</v>
      </c>
      <c r="O6" s="205">
        <f>'A5-Capex'!J44</f>
        <v>0</v>
      </c>
      <c r="P6" s="203">
        <f>'A5-Capex'!K44</f>
        <v>0</v>
      </c>
      <c r="Q6" s="264">
        <f>'A5-Capex'!L44</f>
        <v>0</v>
      </c>
      <c r="R6" s="369"/>
    </row>
    <row r="7" spans="1:18" x14ac:dyDescent="0.25">
      <c r="A7" s="1267" t="str">
        <f>'A5-Capex'!A45</f>
        <v>Budget and treasury office</v>
      </c>
      <c r="B7" s="859"/>
      <c r="C7" s="1633"/>
      <c r="D7" s="1631"/>
      <c r="E7" s="1631"/>
      <c r="F7" s="1631"/>
      <c r="G7" s="1631"/>
      <c r="H7" s="1631"/>
      <c r="I7" s="1631"/>
      <c r="J7" s="1631"/>
      <c r="K7" s="1631"/>
      <c r="L7" s="1631"/>
      <c r="M7" s="1631"/>
      <c r="N7" s="202">
        <f t="shared" si="1"/>
        <v>0</v>
      </c>
      <c r="O7" s="205">
        <f>'A5-Capex'!J45</f>
        <v>0</v>
      </c>
      <c r="P7" s="203">
        <f>'A5-Capex'!K45</f>
        <v>0</v>
      </c>
      <c r="Q7" s="264">
        <f>'A5-Capex'!L45</f>
        <v>0</v>
      </c>
      <c r="R7" s="369"/>
    </row>
    <row r="8" spans="1:18" x14ac:dyDescent="0.25">
      <c r="A8" s="1267" t="str">
        <f>'A5-Capex'!A46</f>
        <v>Corporate services</v>
      </c>
      <c r="B8" s="859"/>
      <c r="C8" s="1629"/>
      <c r="D8" s="1606"/>
      <c r="E8" s="1606"/>
      <c r="F8" s="1606"/>
      <c r="G8" s="1606"/>
      <c r="H8" s="1606"/>
      <c r="I8" s="1606"/>
      <c r="J8" s="1606"/>
      <c r="K8" s="1606"/>
      <c r="L8" s="1606"/>
      <c r="M8" s="1606"/>
      <c r="N8" s="202">
        <f t="shared" si="1"/>
        <v>0</v>
      </c>
      <c r="O8" s="205">
        <f>'A5-Capex'!J46</f>
        <v>0</v>
      </c>
      <c r="P8" s="203">
        <f>'A5-Capex'!K46</f>
        <v>0</v>
      </c>
      <c r="Q8" s="264">
        <f>'A5-Capex'!L46</f>
        <v>0</v>
      </c>
      <c r="R8" s="369"/>
    </row>
    <row r="9" spans="1:18" x14ac:dyDescent="0.25">
      <c r="A9" s="1266" t="str">
        <f>'A5-Capex'!A47</f>
        <v>Community and public safety</v>
      </c>
      <c r="B9" s="859"/>
      <c r="C9" s="1128">
        <f>SUM(C10:C14)</f>
        <v>0</v>
      </c>
      <c r="D9" s="1126">
        <f t="shared" ref="D9:M9" si="2">SUM(D10:D14)</f>
        <v>0</v>
      </c>
      <c r="E9" s="1126">
        <f t="shared" si="2"/>
        <v>0</v>
      </c>
      <c r="F9" s="1126">
        <f t="shared" si="2"/>
        <v>0</v>
      </c>
      <c r="G9" s="1126">
        <f t="shared" si="2"/>
        <v>0</v>
      </c>
      <c r="H9" s="1126">
        <f t="shared" si="2"/>
        <v>0</v>
      </c>
      <c r="I9" s="1126">
        <f t="shared" si="2"/>
        <v>0</v>
      </c>
      <c r="J9" s="1126">
        <f t="shared" si="2"/>
        <v>0</v>
      </c>
      <c r="K9" s="1126">
        <f t="shared" si="2"/>
        <v>0</v>
      </c>
      <c r="L9" s="1126">
        <f t="shared" si="2"/>
        <v>0</v>
      </c>
      <c r="M9" s="1126">
        <f t="shared" si="2"/>
        <v>0</v>
      </c>
      <c r="N9" s="217">
        <f t="shared" si="1"/>
        <v>0</v>
      </c>
      <c r="O9" s="220">
        <f>'A5-Capex'!J47</f>
        <v>0</v>
      </c>
      <c r="P9" s="218">
        <f>'A5-Capex'!K47</f>
        <v>0</v>
      </c>
      <c r="Q9" s="345">
        <f>'A5-Capex'!L47</f>
        <v>0</v>
      </c>
      <c r="R9" s="369"/>
    </row>
    <row r="10" spans="1:18" x14ac:dyDescent="0.25">
      <c r="A10" s="1267" t="str">
        <f>'A5-Capex'!A48</f>
        <v>Community and social services</v>
      </c>
      <c r="B10" s="859"/>
      <c r="C10" s="1629"/>
      <c r="D10" s="1606"/>
      <c r="E10" s="1606"/>
      <c r="F10" s="1606"/>
      <c r="G10" s="1606"/>
      <c r="H10" s="1606"/>
      <c r="I10" s="1606"/>
      <c r="J10" s="1606"/>
      <c r="K10" s="1606"/>
      <c r="L10" s="1606"/>
      <c r="M10" s="1606"/>
      <c r="N10" s="202">
        <f t="shared" si="1"/>
        <v>0</v>
      </c>
      <c r="O10" s="205">
        <f>'A5-Capex'!J48</f>
        <v>0</v>
      </c>
      <c r="P10" s="203">
        <f>'A5-Capex'!K48</f>
        <v>0</v>
      </c>
      <c r="Q10" s="264">
        <f>'A5-Capex'!L48</f>
        <v>0</v>
      </c>
      <c r="R10" s="369"/>
    </row>
    <row r="11" spans="1:18" x14ac:dyDescent="0.25">
      <c r="A11" s="1267" t="str">
        <f>'A5-Capex'!A49</f>
        <v>Sport and recreation</v>
      </c>
      <c r="B11" s="859"/>
      <c r="C11" s="1629"/>
      <c r="D11" s="1606"/>
      <c r="E11" s="1606"/>
      <c r="F11" s="1606"/>
      <c r="G11" s="1606"/>
      <c r="H11" s="1606"/>
      <c r="I11" s="1606"/>
      <c r="J11" s="1606"/>
      <c r="K11" s="1606"/>
      <c r="L11" s="1606"/>
      <c r="M11" s="1606"/>
      <c r="N11" s="202">
        <f t="shared" si="1"/>
        <v>0</v>
      </c>
      <c r="O11" s="205">
        <f>'A5-Capex'!J49</f>
        <v>0</v>
      </c>
      <c r="P11" s="203">
        <f>'A5-Capex'!K49</f>
        <v>0</v>
      </c>
      <c r="Q11" s="264">
        <f>'A5-Capex'!L49</f>
        <v>0</v>
      </c>
      <c r="R11" s="369"/>
    </row>
    <row r="12" spans="1:18" x14ac:dyDescent="0.25">
      <c r="A12" s="1267" t="str">
        <f>'A5-Capex'!A50</f>
        <v>Public safety</v>
      </c>
      <c r="B12" s="859"/>
      <c r="C12" s="1629"/>
      <c r="D12" s="1606"/>
      <c r="E12" s="1606"/>
      <c r="F12" s="1606"/>
      <c r="G12" s="1606"/>
      <c r="H12" s="1606"/>
      <c r="I12" s="1606"/>
      <c r="J12" s="1606"/>
      <c r="K12" s="1606"/>
      <c r="L12" s="1606"/>
      <c r="M12" s="1606"/>
      <c r="N12" s="202">
        <f t="shared" si="1"/>
        <v>0</v>
      </c>
      <c r="O12" s="205">
        <f>'A5-Capex'!J50</f>
        <v>0</v>
      </c>
      <c r="P12" s="203">
        <f>'A5-Capex'!K50</f>
        <v>0</v>
      </c>
      <c r="Q12" s="264">
        <f>'A5-Capex'!L50</f>
        <v>0</v>
      </c>
      <c r="R12" s="369"/>
    </row>
    <row r="13" spans="1:18" x14ac:dyDescent="0.25">
      <c r="A13" s="1267" t="str">
        <f>'A5-Capex'!A51</f>
        <v>Housing</v>
      </c>
      <c r="B13" s="859"/>
      <c r="C13" s="1629"/>
      <c r="D13" s="1606"/>
      <c r="E13" s="1606"/>
      <c r="F13" s="1606"/>
      <c r="G13" s="1606"/>
      <c r="H13" s="1606"/>
      <c r="I13" s="1606"/>
      <c r="J13" s="1606"/>
      <c r="K13" s="1606"/>
      <c r="L13" s="1606"/>
      <c r="M13" s="1606"/>
      <c r="N13" s="202">
        <f t="shared" si="1"/>
        <v>0</v>
      </c>
      <c r="O13" s="205">
        <f>'A5-Capex'!J51</f>
        <v>0</v>
      </c>
      <c r="P13" s="203">
        <f>'A5-Capex'!K51</f>
        <v>0</v>
      </c>
      <c r="Q13" s="264">
        <f>'A5-Capex'!L51</f>
        <v>0</v>
      </c>
      <c r="R13" s="369"/>
    </row>
    <row r="14" spans="1:18" x14ac:dyDescent="0.25">
      <c r="A14" s="1267" t="str">
        <f>'A5-Capex'!A52</f>
        <v>Health</v>
      </c>
      <c r="B14" s="859"/>
      <c r="C14" s="1629"/>
      <c r="D14" s="1606"/>
      <c r="E14" s="1606"/>
      <c r="F14" s="1606"/>
      <c r="G14" s="1606"/>
      <c r="H14" s="1606"/>
      <c r="I14" s="1606"/>
      <c r="J14" s="1606"/>
      <c r="K14" s="1606"/>
      <c r="L14" s="1606"/>
      <c r="M14" s="1606"/>
      <c r="N14" s="202">
        <f t="shared" si="1"/>
        <v>0</v>
      </c>
      <c r="O14" s="205">
        <f>'A5-Capex'!J52</f>
        <v>0</v>
      </c>
      <c r="P14" s="203">
        <f>'A5-Capex'!K52</f>
        <v>0</v>
      </c>
      <c r="Q14" s="264">
        <f>'A5-Capex'!L52</f>
        <v>0</v>
      </c>
      <c r="R14" s="369"/>
    </row>
    <row r="15" spans="1:18" x14ac:dyDescent="0.25">
      <c r="A15" s="1266" t="str">
        <f>'A5-Capex'!A53</f>
        <v>Economic and environmental services</v>
      </c>
      <c r="B15" s="859"/>
      <c r="C15" s="1128">
        <f>SUM(C16:C18)</f>
        <v>9595761.25</v>
      </c>
      <c r="D15" s="1126">
        <f t="shared" ref="D15:M15" si="3">SUM(D16:D18)</f>
        <v>9595761.25</v>
      </c>
      <c r="E15" s="1126">
        <f t="shared" si="3"/>
        <v>9595761.25</v>
      </c>
      <c r="F15" s="1126">
        <f t="shared" si="3"/>
        <v>9595761.25</v>
      </c>
      <c r="G15" s="1126">
        <f t="shared" si="3"/>
        <v>9595761.25</v>
      </c>
      <c r="H15" s="1126">
        <f t="shared" si="3"/>
        <v>9595761.25</v>
      </c>
      <c r="I15" s="1126">
        <f t="shared" si="3"/>
        <v>9595761.25</v>
      </c>
      <c r="J15" s="1126">
        <f t="shared" si="3"/>
        <v>9595761.25</v>
      </c>
      <c r="K15" s="1126">
        <f t="shared" si="3"/>
        <v>9595761.25</v>
      </c>
      <c r="L15" s="1126">
        <f t="shared" si="3"/>
        <v>9595761.25</v>
      </c>
      <c r="M15" s="1126">
        <f t="shared" si="3"/>
        <v>9595761.25</v>
      </c>
      <c r="N15" s="217">
        <f t="shared" si="1"/>
        <v>9685761.25</v>
      </c>
      <c r="O15" s="220">
        <f>'A5-Capex'!J53</f>
        <v>115239135</v>
      </c>
      <c r="P15" s="218">
        <f>'A5-Capex'!K53</f>
        <v>121577287.425</v>
      </c>
      <c r="Q15" s="345">
        <f>'A5-Capex'!L53</f>
        <v>128020883.65852499</v>
      </c>
      <c r="R15" s="369"/>
    </row>
    <row r="16" spans="1:18" x14ac:dyDescent="0.25">
      <c r="A16" s="1267" t="str">
        <f>'A5-Capex'!A54</f>
        <v>Planning and development</v>
      </c>
      <c r="B16" s="859"/>
      <c r="C16" s="1629">
        <f>'SA28'!C27+'SA28'!C28</f>
        <v>9595761.25</v>
      </c>
      <c r="D16" s="1606">
        <v>9595761.25</v>
      </c>
      <c r="E16" s="1606">
        <v>9595761.25</v>
      </c>
      <c r="F16" s="1606">
        <v>9595761.25</v>
      </c>
      <c r="G16" s="1606">
        <v>9595761.25</v>
      </c>
      <c r="H16" s="1606">
        <v>9595761.25</v>
      </c>
      <c r="I16" s="1606">
        <v>9595761.25</v>
      </c>
      <c r="J16" s="1606">
        <v>9595761.25</v>
      </c>
      <c r="K16" s="1606">
        <v>9595761.25</v>
      </c>
      <c r="L16" s="1606">
        <v>9595761.25</v>
      </c>
      <c r="M16" s="1606">
        <v>9595761.25</v>
      </c>
      <c r="N16" s="202">
        <f t="shared" si="1"/>
        <v>9685761.25</v>
      </c>
      <c r="O16" s="205">
        <f>'A5-Capex'!J54</f>
        <v>115239135</v>
      </c>
      <c r="P16" s="203">
        <f>'A5-Capex'!K54</f>
        <v>121577287.425</v>
      </c>
      <c r="Q16" s="264">
        <f>'A5-Capex'!L54</f>
        <v>128020883.65852499</v>
      </c>
      <c r="R16" s="369"/>
    </row>
    <row r="17" spans="1:20" x14ac:dyDescent="0.25">
      <c r="A17" s="1267" t="str">
        <f>'A5-Capex'!A55</f>
        <v>Road transport</v>
      </c>
      <c r="B17" s="859"/>
      <c r="C17" s="1629"/>
      <c r="D17" s="1606"/>
      <c r="E17" s="1606"/>
      <c r="F17" s="1606"/>
      <c r="G17" s="1606"/>
      <c r="H17" s="1606"/>
      <c r="I17" s="1606"/>
      <c r="J17" s="1606"/>
      <c r="K17" s="1606"/>
      <c r="L17" s="1606"/>
      <c r="M17" s="1606"/>
      <c r="N17" s="202">
        <f t="shared" si="1"/>
        <v>0</v>
      </c>
      <c r="O17" s="205">
        <f>'A5-Capex'!J55</f>
        <v>0</v>
      </c>
      <c r="P17" s="203">
        <f>'A5-Capex'!K55</f>
        <v>0</v>
      </c>
      <c r="Q17" s="264">
        <f>'A5-Capex'!L55</f>
        <v>0</v>
      </c>
      <c r="R17" s="369"/>
    </row>
    <row r="18" spans="1:20" x14ac:dyDescent="0.25">
      <c r="A18" s="1267" t="str">
        <f>'A5-Capex'!A56</f>
        <v>Environmental protection</v>
      </c>
      <c r="B18" s="859"/>
      <c r="C18" s="1629"/>
      <c r="D18" s="1606"/>
      <c r="E18" s="1606"/>
      <c r="F18" s="1606"/>
      <c r="G18" s="1606"/>
      <c r="H18" s="1606"/>
      <c r="I18" s="1606"/>
      <c r="J18" s="1606"/>
      <c r="K18" s="1606"/>
      <c r="L18" s="1606"/>
      <c r="M18" s="1606"/>
      <c r="N18" s="202">
        <f t="shared" si="1"/>
        <v>0</v>
      </c>
      <c r="O18" s="205">
        <f>'A5-Capex'!J56</f>
        <v>0</v>
      </c>
      <c r="P18" s="203">
        <f>'A5-Capex'!K56</f>
        <v>0</v>
      </c>
      <c r="Q18" s="264">
        <f>'A5-Capex'!L56</f>
        <v>0</v>
      </c>
      <c r="R18" s="369"/>
    </row>
    <row r="19" spans="1:20" x14ac:dyDescent="0.25">
      <c r="A19" s="1266" t="str">
        <f>'A5-Capex'!A57</f>
        <v>Trading services</v>
      </c>
      <c r="B19" s="859"/>
      <c r="C19" s="1128">
        <f>SUM(C20:C23)</f>
        <v>0</v>
      </c>
      <c r="D19" s="1126">
        <f t="shared" ref="D19:M19" si="4">SUM(D20:D23)</f>
        <v>0</v>
      </c>
      <c r="E19" s="1126">
        <f t="shared" si="4"/>
        <v>0</v>
      </c>
      <c r="F19" s="1126">
        <f t="shared" si="4"/>
        <v>0</v>
      </c>
      <c r="G19" s="1126">
        <f t="shared" si="4"/>
        <v>0</v>
      </c>
      <c r="H19" s="1126">
        <f t="shared" si="4"/>
        <v>0</v>
      </c>
      <c r="I19" s="1126">
        <f t="shared" si="4"/>
        <v>0</v>
      </c>
      <c r="J19" s="1126">
        <f t="shared" si="4"/>
        <v>0</v>
      </c>
      <c r="K19" s="1126">
        <f t="shared" si="4"/>
        <v>0</v>
      </c>
      <c r="L19" s="1126">
        <f t="shared" si="4"/>
        <v>0</v>
      </c>
      <c r="M19" s="1126">
        <f t="shared" si="4"/>
        <v>0</v>
      </c>
      <c r="N19" s="217">
        <f>O19-SUM(C19:M19)</f>
        <v>1100000</v>
      </c>
      <c r="O19" s="220">
        <f>'A5-Capex'!J57</f>
        <v>1100000</v>
      </c>
      <c r="P19" s="218">
        <f>'A5-Capex'!K57</f>
        <v>1160500</v>
      </c>
      <c r="Q19" s="345">
        <f>'A5-Capex'!L57</f>
        <v>1222006.5</v>
      </c>
      <c r="R19" s="369"/>
    </row>
    <row r="20" spans="1:20" x14ac:dyDescent="0.25">
      <c r="A20" s="1267" t="str">
        <f>'A5-Capex'!A58</f>
        <v>Electricity</v>
      </c>
      <c r="B20" s="859"/>
      <c r="C20" s="1629"/>
      <c r="D20" s="1606"/>
      <c r="E20" s="1606"/>
      <c r="F20" s="1606"/>
      <c r="G20" s="1606"/>
      <c r="H20" s="1606"/>
      <c r="I20" s="1606"/>
      <c r="J20" s="1606"/>
      <c r="K20" s="1606"/>
      <c r="L20" s="1606"/>
      <c r="M20" s="1606"/>
      <c r="N20" s="202">
        <f t="shared" si="1"/>
        <v>1100000</v>
      </c>
      <c r="O20" s="205">
        <f>'A5-Capex'!J58</f>
        <v>1100000</v>
      </c>
      <c r="P20" s="203">
        <f>'A5-Capex'!K58</f>
        <v>1160500</v>
      </c>
      <c r="Q20" s="264">
        <f>'A5-Capex'!L58</f>
        <v>1222006.5</v>
      </c>
      <c r="R20" s="369"/>
    </row>
    <row r="21" spans="1:20" x14ac:dyDescent="0.25">
      <c r="A21" s="1267" t="str">
        <f>'A5-Capex'!A59</f>
        <v>Water</v>
      </c>
      <c r="B21" s="859"/>
      <c r="C21" s="1629"/>
      <c r="D21" s="1606"/>
      <c r="E21" s="1606"/>
      <c r="F21" s="1606"/>
      <c r="G21" s="1606"/>
      <c r="H21" s="1606"/>
      <c r="I21" s="1606"/>
      <c r="J21" s="1606"/>
      <c r="K21" s="1606"/>
      <c r="L21" s="1606"/>
      <c r="M21" s="1606"/>
      <c r="N21" s="202">
        <f t="shared" si="1"/>
        <v>0</v>
      </c>
      <c r="O21" s="205">
        <f>'A5-Capex'!J59</f>
        <v>0</v>
      </c>
      <c r="P21" s="203">
        <f>'A5-Capex'!K59</f>
        <v>0</v>
      </c>
      <c r="Q21" s="264">
        <f>'A5-Capex'!L59</f>
        <v>0</v>
      </c>
      <c r="R21" s="369"/>
    </row>
    <row r="22" spans="1:20" x14ac:dyDescent="0.25">
      <c r="A22" s="1267" t="str">
        <f>'A5-Capex'!A60</f>
        <v>Waste water management</v>
      </c>
      <c r="B22" s="859"/>
      <c r="C22" s="1629"/>
      <c r="D22" s="1606"/>
      <c r="E22" s="1606"/>
      <c r="F22" s="1606"/>
      <c r="G22" s="1606"/>
      <c r="H22" s="1606"/>
      <c r="I22" s="1606"/>
      <c r="J22" s="1606"/>
      <c r="K22" s="1606"/>
      <c r="L22" s="1606"/>
      <c r="M22" s="1606"/>
      <c r="N22" s="202">
        <f t="shared" si="1"/>
        <v>0</v>
      </c>
      <c r="O22" s="205">
        <f>'A5-Capex'!J60</f>
        <v>0</v>
      </c>
      <c r="P22" s="203">
        <f>'A5-Capex'!K60</f>
        <v>0</v>
      </c>
      <c r="Q22" s="264">
        <f>'A5-Capex'!L60</f>
        <v>0</v>
      </c>
      <c r="R22" s="369"/>
    </row>
    <row r="23" spans="1:20" x14ac:dyDescent="0.25">
      <c r="A23" s="1267" t="str">
        <f>'A5-Capex'!A61</f>
        <v>Waste management</v>
      </c>
      <c r="B23" s="859"/>
      <c r="C23" s="1629"/>
      <c r="D23" s="1606"/>
      <c r="E23" s="1606"/>
      <c r="F23" s="1606"/>
      <c r="G23" s="1606"/>
      <c r="H23" s="1606"/>
      <c r="I23" s="1606"/>
      <c r="J23" s="1606"/>
      <c r="K23" s="1606"/>
      <c r="L23" s="1606"/>
      <c r="M23" s="1606"/>
      <c r="N23" s="202">
        <f t="shared" si="1"/>
        <v>0</v>
      </c>
      <c r="O23" s="205">
        <f>'A5-Capex'!J61</f>
        <v>0</v>
      </c>
      <c r="P23" s="203">
        <f>'A5-Capex'!K61</f>
        <v>0</v>
      </c>
      <c r="Q23" s="264">
        <f>'A5-Capex'!L61</f>
        <v>0</v>
      </c>
      <c r="R23" s="369"/>
    </row>
    <row r="24" spans="1:20" x14ac:dyDescent="0.25">
      <c r="A24" s="1266" t="str">
        <f>'A5-Capex'!A62</f>
        <v>Other</v>
      </c>
      <c r="B24" s="859"/>
      <c r="C24" s="1643"/>
      <c r="D24" s="1641"/>
      <c r="E24" s="1641"/>
      <c r="F24" s="1641"/>
      <c r="G24" s="1641"/>
      <c r="H24" s="1641"/>
      <c r="I24" s="1641"/>
      <c r="J24" s="1641"/>
      <c r="K24" s="1641"/>
      <c r="L24" s="1641"/>
      <c r="M24" s="1641"/>
      <c r="N24" s="217">
        <f>O24-SUM(C24:M24)</f>
        <v>0</v>
      </c>
      <c r="O24" s="220">
        <f>'A5-Capex'!J62</f>
        <v>0</v>
      </c>
      <c r="P24" s="218">
        <f>'A5-Capex'!K62</f>
        <v>0</v>
      </c>
      <c r="Q24" s="345">
        <f>'A5-Capex'!L62</f>
        <v>0</v>
      </c>
      <c r="R24" s="369"/>
    </row>
    <row r="25" spans="1:20" x14ac:dyDescent="0.25">
      <c r="A25" s="844" t="str">
        <f>'A5-Capex'!A63</f>
        <v>Total Capital Expenditure - Standard</v>
      </c>
      <c r="B25" s="876">
        <v>2</v>
      </c>
      <c r="C25" s="354">
        <f>C5+C9+C15+C19+C24</f>
        <v>9595761.25</v>
      </c>
      <c r="D25" s="227">
        <f t="shared" ref="D25:Q25" si="5">D5+D9+D15+D19+D24</f>
        <v>9595761.25</v>
      </c>
      <c r="E25" s="227">
        <f t="shared" si="5"/>
        <v>9595761.25</v>
      </c>
      <c r="F25" s="227">
        <f t="shared" si="5"/>
        <v>9595761.25</v>
      </c>
      <c r="G25" s="227">
        <f t="shared" si="5"/>
        <v>9595761.25</v>
      </c>
      <c r="H25" s="227">
        <f t="shared" si="5"/>
        <v>9595761.25</v>
      </c>
      <c r="I25" s="227">
        <f t="shared" si="5"/>
        <v>9595761.25</v>
      </c>
      <c r="J25" s="227">
        <f t="shared" si="5"/>
        <v>9595761.25</v>
      </c>
      <c r="K25" s="227">
        <f t="shared" si="5"/>
        <v>9595761.25</v>
      </c>
      <c r="L25" s="227">
        <f t="shared" si="5"/>
        <v>9595761.25</v>
      </c>
      <c r="M25" s="227">
        <f t="shared" si="5"/>
        <v>9595761.25</v>
      </c>
      <c r="N25" s="2222">
        <f>N5+N9+N15+N19+N24</f>
        <v>10785761.25</v>
      </c>
      <c r="O25" s="354">
        <f t="shared" si="5"/>
        <v>116339135</v>
      </c>
      <c r="P25" s="227">
        <f t="shared" si="5"/>
        <v>122737787.425</v>
      </c>
      <c r="Q25" s="814">
        <f t="shared" si="5"/>
        <v>129242890.15852499</v>
      </c>
      <c r="R25" s="369"/>
    </row>
    <row r="26" spans="1:20" ht="7.5" customHeight="1" x14ac:dyDescent="0.25">
      <c r="A26" s="1281"/>
      <c r="B26" s="2615"/>
      <c r="C26" s="2616"/>
      <c r="D26" s="393"/>
      <c r="E26" s="393"/>
      <c r="F26" s="393"/>
      <c r="G26" s="393"/>
      <c r="H26" s="393"/>
      <c r="I26" s="393"/>
      <c r="J26" s="393"/>
      <c r="K26" s="393"/>
      <c r="L26" s="393"/>
      <c r="M26" s="393"/>
      <c r="N26" s="2221"/>
      <c r="O26" s="1465"/>
      <c r="P26" s="393"/>
      <c r="Q26" s="623"/>
      <c r="R26" s="369"/>
    </row>
    <row r="27" spans="1:20" s="708" customFormat="1" x14ac:dyDescent="0.25">
      <c r="A27" s="181" t="s">
        <v>490</v>
      </c>
      <c r="B27" s="293"/>
      <c r="C27" s="203"/>
      <c r="D27" s="203"/>
      <c r="E27" s="203"/>
      <c r="F27" s="203"/>
      <c r="G27" s="203"/>
      <c r="H27" s="203"/>
      <c r="I27" s="203"/>
      <c r="J27" s="203"/>
      <c r="K27" s="203"/>
      <c r="L27" s="203"/>
      <c r="M27" s="2617"/>
      <c r="N27" s="2619"/>
      <c r="O27" s="2620"/>
      <c r="P27" s="2617"/>
      <c r="Q27" s="2618"/>
      <c r="R27" s="1082"/>
      <c r="S27" s="1082"/>
      <c r="T27" s="1082"/>
    </row>
    <row r="28" spans="1:20" s="708" customFormat="1" x14ac:dyDescent="0.25">
      <c r="A28" s="417" t="s">
        <v>1542</v>
      </c>
      <c r="B28" s="293"/>
      <c r="C28" s="1606">
        <v>9694927.916666666</v>
      </c>
      <c r="D28" s="1606">
        <v>9694927.916666666</v>
      </c>
      <c r="E28" s="1606">
        <v>9694927.916666666</v>
      </c>
      <c r="F28" s="1606">
        <v>9694927.916666666</v>
      </c>
      <c r="G28" s="1606">
        <v>9694927.916666666</v>
      </c>
      <c r="H28" s="1606">
        <v>9694927.916666666</v>
      </c>
      <c r="I28" s="1606">
        <v>9694927.916666666</v>
      </c>
      <c r="J28" s="1606">
        <v>9694927.916666666</v>
      </c>
      <c r="K28" s="1606">
        <v>9694927.916666666</v>
      </c>
      <c r="L28" s="1606">
        <v>9694927.916666666</v>
      </c>
      <c r="M28" s="1606">
        <v>9694927.916666666</v>
      </c>
      <c r="N28" s="1406">
        <f>O28-SUM(C28:M28)</f>
        <v>9694927.9166666567</v>
      </c>
      <c r="O28" s="1130">
        <f>'A5-Capex'!J66</f>
        <v>116339135</v>
      </c>
      <c r="P28" s="1126">
        <f>'A5-Capex'!K66</f>
        <v>122737787.425</v>
      </c>
      <c r="Q28" s="1407">
        <f>'A5-Capex'!L66</f>
        <v>129242890.15852499</v>
      </c>
      <c r="R28" s="1082"/>
      <c r="S28" s="1082"/>
      <c r="T28" s="1082"/>
    </row>
    <row r="29" spans="1:20" s="708" customFormat="1" x14ac:dyDescent="0.25">
      <c r="A29" s="417" t="s">
        <v>541</v>
      </c>
      <c r="B29" s="293"/>
      <c r="C29" s="1631"/>
      <c r="D29" s="1606"/>
      <c r="E29" s="1606"/>
      <c r="F29" s="1606"/>
      <c r="G29" s="1606"/>
      <c r="H29" s="1606"/>
      <c r="I29" s="1606"/>
      <c r="J29" s="1606"/>
      <c r="K29" s="1606"/>
      <c r="L29" s="1606"/>
      <c r="M29" s="1606"/>
      <c r="N29" s="2622">
        <f t="shared" ref="N29:N35" si="6">O29-SUM(C29:M29)</f>
        <v>0</v>
      </c>
      <c r="O29" s="1221">
        <f>'A5-Capex'!J67</f>
        <v>0</v>
      </c>
      <c r="P29" s="1217">
        <f>'A5-Capex'!K67</f>
        <v>0</v>
      </c>
      <c r="Q29" s="2160">
        <f>'A5-Capex'!L67</f>
        <v>0</v>
      </c>
    </row>
    <row r="30" spans="1:20" x14ac:dyDescent="0.25">
      <c r="A30" s="417" t="s">
        <v>542</v>
      </c>
      <c r="B30" s="293"/>
      <c r="C30" s="1631"/>
      <c r="D30" s="1631"/>
      <c r="E30" s="1631"/>
      <c r="F30" s="1631"/>
      <c r="G30" s="1631"/>
      <c r="H30" s="1631"/>
      <c r="I30" s="1606"/>
      <c r="J30" s="1631"/>
      <c r="K30" s="1631"/>
      <c r="L30" s="1631"/>
      <c r="M30" s="1606"/>
      <c r="N30" s="2622">
        <f t="shared" si="6"/>
        <v>0</v>
      </c>
      <c r="O30" s="2623">
        <f>'A5-Capex'!J68</f>
        <v>0</v>
      </c>
      <c r="P30" s="2624">
        <f>'A5-Capex'!K68</f>
        <v>0</v>
      </c>
      <c r="Q30" s="2625">
        <f>'A5-Capex'!L68</f>
        <v>0</v>
      </c>
    </row>
    <row r="31" spans="1:20" x14ac:dyDescent="0.25">
      <c r="A31" s="1276" t="s">
        <v>1031</v>
      </c>
      <c r="B31" s="293"/>
      <c r="C31" s="1631"/>
      <c r="D31" s="1631"/>
      <c r="E31" s="1631"/>
      <c r="F31" s="1631"/>
      <c r="G31" s="1631"/>
      <c r="H31" s="1631"/>
      <c r="I31" s="1606"/>
      <c r="J31" s="1631"/>
      <c r="K31" s="1631"/>
      <c r="L31" s="1631"/>
      <c r="M31" s="1606"/>
      <c r="N31" s="2622">
        <f>O31-SUM(C31:M31)</f>
        <v>0</v>
      </c>
      <c r="O31" s="1221">
        <f>'A5-Capex'!J69</f>
        <v>0</v>
      </c>
      <c r="P31" s="1217">
        <f>'A5-Capex'!K69</f>
        <v>0</v>
      </c>
      <c r="Q31" s="2160">
        <f>'A5-Capex'!L69</f>
        <v>0</v>
      </c>
    </row>
    <row r="32" spans="1:20" x14ac:dyDescent="0.25">
      <c r="A32" s="1542" t="s">
        <v>1335</v>
      </c>
      <c r="B32" s="293"/>
      <c r="C32" s="213">
        <f t="shared" ref="C32:Q32" si="7">SUM(C28:C31)</f>
        <v>9694927.916666666</v>
      </c>
      <c r="D32" s="213">
        <f t="shared" si="7"/>
        <v>9694927.916666666</v>
      </c>
      <c r="E32" s="213">
        <f t="shared" si="7"/>
        <v>9694927.916666666</v>
      </c>
      <c r="F32" s="213">
        <f t="shared" si="7"/>
        <v>9694927.916666666</v>
      </c>
      <c r="G32" s="213">
        <f t="shared" si="7"/>
        <v>9694927.916666666</v>
      </c>
      <c r="H32" s="213">
        <f t="shared" si="7"/>
        <v>9694927.916666666</v>
      </c>
      <c r="I32" s="213">
        <f t="shared" si="7"/>
        <v>9694927.916666666</v>
      </c>
      <c r="J32" s="213">
        <f t="shared" si="7"/>
        <v>9694927.916666666</v>
      </c>
      <c r="K32" s="213">
        <f t="shared" si="7"/>
        <v>9694927.916666666</v>
      </c>
      <c r="L32" s="213">
        <f t="shared" si="7"/>
        <v>9694927.916666666</v>
      </c>
      <c r="M32" s="213">
        <f t="shared" si="7"/>
        <v>9694927.916666666</v>
      </c>
      <c r="N32" s="2626">
        <f>SUM(N28:N31)</f>
        <v>9694927.9166666567</v>
      </c>
      <c r="O32" s="2627">
        <f t="shared" si="7"/>
        <v>116339135</v>
      </c>
      <c r="P32" s="2628">
        <f t="shared" si="7"/>
        <v>122737787.425</v>
      </c>
      <c r="Q32" s="2626">
        <f t="shared" si="7"/>
        <v>129242890.15852499</v>
      </c>
    </row>
    <row r="33" spans="1:17" x14ac:dyDescent="0.25">
      <c r="A33" s="416" t="s">
        <v>457</v>
      </c>
      <c r="B33" s="293"/>
      <c r="C33" s="1631"/>
      <c r="D33" s="1606"/>
      <c r="E33" s="1606"/>
      <c r="F33" s="1606"/>
      <c r="G33" s="1606"/>
      <c r="H33" s="1606"/>
      <c r="I33" s="1606"/>
      <c r="J33" s="1606"/>
      <c r="K33" s="1606"/>
      <c r="L33" s="1606"/>
      <c r="M33" s="1606"/>
      <c r="N33" s="2622">
        <f t="shared" si="6"/>
        <v>0</v>
      </c>
      <c r="O33" s="1221">
        <f>'A5-Capex'!J71</f>
        <v>0</v>
      </c>
      <c r="P33" s="1217">
        <f>'A5-Capex'!K71</f>
        <v>0</v>
      </c>
      <c r="Q33" s="2160">
        <f>'A5-Capex'!L71</f>
        <v>0</v>
      </c>
    </row>
    <row r="34" spans="1:17" x14ac:dyDescent="0.25">
      <c r="A34" s="416" t="s">
        <v>1272</v>
      </c>
      <c r="B34" s="293"/>
      <c r="C34" s="1606"/>
      <c r="D34" s="1606"/>
      <c r="E34" s="1606"/>
      <c r="F34" s="1606"/>
      <c r="G34" s="1606"/>
      <c r="H34" s="1606"/>
      <c r="I34" s="1606"/>
      <c r="J34" s="1606"/>
      <c r="K34" s="1606"/>
      <c r="L34" s="1606"/>
      <c r="M34" s="1606"/>
      <c r="N34" s="2622">
        <f t="shared" si="6"/>
        <v>0</v>
      </c>
      <c r="O34" s="1221">
        <f>'A5-Capex'!J72</f>
        <v>0</v>
      </c>
      <c r="P34" s="1217">
        <f>'A5-Capex'!K72</f>
        <v>0</v>
      </c>
      <c r="Q34" s="2160">
        <f>'A5-Capex'!L72</f>
        <v>0</v>
      </c>
    </row>
    <row r="35" spans="1:17" x14ac:dyDescent="0.25">
      <c r="A35" s="416" t="s">
        <v>491</v>
      </c>
      <c r="B35" s="293"/>
      <c r="C35" s="1606"/>
      <c r="D35" s="1606"/>
      <c r="E35" s="1606"/>
      <c r="F35" s="1606"/>
      <c r="G35" s="1606"/>
      <c r="H35" s="1606"/>
      <c r="I35" s="1606"/>
      <c r="J35" s="1606"/>
      <c r="K35" s="1606"/>
      <c r="L35" s="1606"/>
      <c r="M35" s="1606"/>
      <c r="N35" s="2622">
        <f t="shared" si="6"/>
        <v>0</v>
      </c>
      <c r="O35" s="1221">
        <f>'A5-Capex'!J73</f>
        <v>0</v>
      </c>
      <c r="P35" s="1217">
        <f>'A5-Capex'!K73</f>
        <v>0</v>
      </c>
      <c r="Q35" s="2160">
        <f>'A5-Capex'!L73</f>
        <v>0</v>
      </c>
    </row>
    <row r="36" spans="1:17" x14ac:dyDescent="0.25">
      <c r="A36" s="224" t="s">
        <v>777</v>
      </c>
      <c r="B36" s="306"/>
      <c r="C36" s="230">
        <f t="shared" ref="C36:Q36" si="8">SUM(C32:C35)</f>
        <v>9694927.916666666</v>
      </c>
      <c r="D36" s="230">
        <f t="shared" si="8"/>
        <v>9694927.916666666</v>
      </c>
      <c r="E36" s="230">
        <f t="shared" si="8"/>
        <v>9694927.916666666</v>
      </c>
      <c r="F36" s="230">
        <f t="shared" si="8"/>
        <v>9694927.916666666</v>
      </c>
      <c r="G36" s="230">
        <f t="shared" si="8"/>
        <v>9694927.916666666</v>
      </c>
      <c r="H36" s="230">
        <f t="shared" si="8"/>
        <v>9694927.916666666</v>
      </c>
      <c r="I36" s="230">
        <f t="shared" si="8"/>
        <v>9694927.916666666</v>
      </c>
      <c r="J36" s="230">
        <f t="shared" si="8"/>
        <v>9694927.916666666</v>
      </c>
      <c r="K36" s="230">
        <f t="shared" si="8"/>
        <v>9694927.916666666</v>
      </c>
      <c r="L36" s="230">
        <f t="shared" si="8"/>
        <v>9694927.916666666</v>
      </c>
      <c r="M36" s="2621">
        <f t="shared" si="8"/>
        <v>9694927.916666666</v>
      </c>
      <c r="N36" s="2629">
        <f>SUM(N32:N35)</f>
        <v>9694927.9166666567</v>
      </c>
      <c r="O36" s="2630">
        <f t="shared" si="8"/>
        <v>116339135</v>
      </c>
      <c r="P36" s="2631">
        <f t="shared" si="8"/>
        <v>122737787.425</v>
      </c>
      <c r="Q36" s="2632">
        <f t="shared" si="8"/>
        <v>129242890.15852499</v>
      </c>
    </row>
    <row r="37" spans="1:17" x14ac:dyDescent="0.25">
      <c r="A37" s="1418" t="str">
        <f>head27a</f>
        <v>References</v>
      </c>
      <c r="B37" s="1083"/>
      <c r="C37" s="1035"/>
      <c r="D37" s="1035"/>
      <c r="E37" s="1035"/>
      <c r="F37" s="1035"/>
      <c r="G37" s="1035"/>
      <c r="H37" s="1035"/>
      <c r="I37" s="1035"/>
      <c r="J37" s="1035"/>
      <c r="K37" s="1035"/>
      <c r="L37" s="1035"/>
    </row>
    <row r="38" spans="1:17" x14ac:dyDescent="0.25">
      <c r="A38" s="1414" t="s">
        <v>789</v>
      </c>
      <c r="B38" s="708"/>
      <c r="C38" s="1035"/>
      <c r="D38" s="1035"/>
      <c r="E38" s="1035"/>
      <c r="F38" s="1035"/>
      <c r="G38" s="1035"/>
      <c r="H38" s="1035"/>
      <c r="I38" s="1035"/>
      <c r="J38" s="1035"/>
      <c r="K38" s="1035"/>
      <c r="L38" s="1035"/>
    </row>
    <row r="39" spans="1:17" x14ac:dyDescent="0.25">
      <c r="A39" s="1414" t="str">
        <f>'SA28'!A44</f>
        <v>2. Total Capital Expenditure must reconcile to Budgeted Capital Expenditure</v>
      </c>
      <c r="B39" s="708"/>
      <c r="C39" s="708"/>
      <c r="D39" s="708"/>
      <c r="E39" s="708"/>
      <c r="F39" s="708"/>
      <c r="G39" s="708"/>
      <c r="H39" s="708"/>
      <c r="I39" s="708"/>
      <c r="J39" s="708"/>
      <c r="K39" s="708"/>
      <c r="L39" s="708"/>
    </row>
    <row r="40" spans="1:17" x14ac:dyDescent="0.25">
      <c r="A40" s="436" t="s">
        <v>1509</v>
      </c>
      <c r="B40" s="436"/>
    </row>
  </sheetData>
  <sheetProtection sheet="1" objects="1" scenarios="1"/>
  <customSheetViews>
    <customSheetView guid="{F50C5479-5CC4-4FD7-8319-543D29E829F0}" showGridLines="0" fitToPage="1">
      <pane xSplit="2" ySplit="3" topLeftCell="C17" activePane="bottomRight" state="frozen"/>
      <selection pane="bottomRight" activeCell="F35" sqref="F35"/>
      <pageMargins left="0" right="0" top="0.78740157480314965" bottom="0.59055118110236227" header="0.51181102362204722" footer="0.39370078740157483"/>
      <printOptions horizontalCentered="1"/>
      <pageSetup paperSize="9" scale="91" orientation="landscape" r:id="rId1"/>
      <headerFooter alignWithMargins="0"/>
    </customSheetView>
  </customSheetViews>
  <mergeCells count="2">
    <mergeCell ref="C2:N2"/>
    <mergeCell ref="O2:Q2"/>
  </mergeCells>
  <phoneticPr fontId="2" type="noConversion"/>
  <printOptions horizontalCentered="1"/>
  <pageMargins left="0" right="0" top="0.78740157480314965" bottom="0.59055118110236227" header="0.51181102362204722" footer="0.39370078740157483"/>
  <pageSetup paperSize="9" scale="91" orientation="landscape"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indexed="42"/>
  </sheetPr>
  <dimension ref="A1:AR191"/>
  <sheetViews>
    <sheetView showGridLines="0" zoomScaleNormal="100" workbookViewId="0">
      <pane xSplit="1" ySplit="3" topLeftCell="B4" activePane="bottomRight" state="frozen"/>
      <selection pane="topRight"/>
      <selection pane="bottomLeft"/>
      <selection pane="bottomRight" activeCell="N13" sqref="N13"/>
    </sheetView>
  </sheetViews>
  <sheetFormatPr defaultRowHeight="12.75" x14ac:dyDescent="0.25"/>
  <cols>
    <col min="1" max="1" width="30.7109375" style="149" customWidth="1"/>
    <col min="2" max="13" width="8.28515625" style="149" customWidth="1"/>
    <col min="14" max="16" width="9.28515625" style="149" customWidth="1"/>
    <col min="17" max="17" width="9.85546875" style="149" hidden="1" customWidth="1"/>
    <col min="18" max="18" width="9.5703125" style="149" hidden="1" customWidth="1"/>
    <col min="19" max="19" width="9.85546875" style="149" hidden="1" customWidth="1"/>
    <col min="20" max="20" width="11.28515625" style="149" customWidth="1"/>
    <col min="21" max="21" width="9.5703125" style="149" bestFit="1" customWidth="1"/>
    <col min="22" max="25" width="9.85546875" style="149" bestFit="1" customWidth="1"/>
    <col min="26" max="27" width="9.5703125" style="149" bestFit="1" customWidth="1"/>
    <col min="28" max="28" width="9.85546875" style="149" bestFit="1" customWidth="1"/>
    <col min="29" max="16384" width="9.140625" style="149"/>
  </cols>
  <sheetData>
    <row r="1" spans="1:22" ht="13.5" customHeight="1" x14ac:dyDescent="0.25">
      <c r="A1" s="147" t="str">
        <f>muni&amp;" - "&amp; TableA30</f>
        <v>MP315 Thembisile Hani - Supporting Table SA30 Budgeted monthly cash flow</v>
      </c>
      <c r="B1" s="147"/>
      <c r="C1" s="147"/>
      <c r="D1" s="147"/>
      <c r="E1" s="147"/>
      <c r="F1" s="147"/>
      <c r="G1" s="147"/>
      <c r="H1" s="147"/>
      <c r="I1" s="147"/>
      <c r="J1" s="147"/>
      <c r="K1" s="147"/>
      <c r="L1" s="147"/>
      <c r="M1" s="147"/>
      <c r="N1" s="147"/>
      <c r="O1" s="147"/>
      <c r="P1" s="147"/>
      <c r="Q1" s="147"/>
    </row>
    <row r="2" spans="1:22" ht="28.5" customHeight="1" x14ac:dyDescent="0.25">
      <c r="A2" s="996" t="s">
        <v>418</v>
      </c>
      <c r="B2" s="2766" t="str">
        <f>Head9</f>
        <v>Budget Year 2015/16</v>
      </c>
      <c r="C2" s="2767"/>
      <c r="D2" s="2767"/>
      <c r="E2" s="2767"/>
      <c r="F2" s="2767"/>
      <c r="G2" s="2767"/>
      <c r="H2" s="2767"/>
      <c r="I2" s="2767"/>
      <c r="J2" s="2767"/>
      <c r="K2" s="2767"/>
      <c r="L2" s="2767"/>
      <c r="M2" s="2767"/>
      <c r="N2" s="2763" t="s">
        <v>1785</v>
      </c>
      <c r="O2" s="2764"/>
      <c r="P2" s="2765"/>
    </row>
    <row r="3" spans="1:22" ht="25.5" x14ac:dyDescent="0.25">
      <c r="A3" s="180" t="s">
        <v>662</v>
      </c>
      <c r="B3" s="299" t="s">
        <v>720</v>
      </c>
      <c r="C3" s="923" t="s">
        <v>1398</v>
      </c>
      <c r="D3" s="923" t="s">
        <v>1399</v>
      </c>
      <c r="E3" s="923" t="s">
        <v>1400</v>
      </c>
      <c r="F3" s="923" t="s">
        <v>701</v>
      </c>
      <c r="G3" s="923" t="s">
        <v>702</v>
      </c>
      <c r="H3" s="923" t="s">
        <v>703</v>
      </c>
      <c r="I3" s="923" t="s">
        <v>704</v>
      </c>
      <c r="J3" s="923" t="s">
        <v>705</v>
      </c>
      <c r="K3" s="923" t="s">
        <v>706</v>
      </c>
      <c r="L3" s="923" t="s">
        <v>707</v>
      </c>
      <c r="M3" s="390" t="s">
        <v>708</v>
      </c>
      <c r="N3" s="299" t="str">
        <f>Head9</f>
        <v>Budget Year 2015/16</v>
      </c>
      <c r="O3" s="389" t="str">
        <f>Head10</f>
        <v>Budget Year +1 2016/17</v>
      </c>
      <c r="P3" s="390" t="str">
        <f>Head11</f>
        <v>Budget Year +2 2017/18</v>
      </c>
    </row>
    <row r="4" spans="1:22" x14ac:dyDescent="0.25">
      <c r="A4" s="249" t="s">
        <v>906</v>
      </c>
      <c r="B4" s="313"/>
      <c r="C4" s="311"/>
      <c r="D4" s="311"/>
      <c r="E4" s="311"/>
      <c r="F4" s="311"/>
      <c r="G4" s="311"/>
      <c r="H4" s="311"/>
      <c r="I4" s="311"/>
      <c r="J4" s="311"/>
      <c r="K4" s="311"/>
      <c r="L4" s="311"/>
      <c r="M4" s="314"/>
      <c r="N4" s="1431">
        <v>1</v>
      </c>
      <c r="O4" s="311"/>
      <c r="P4" s="314"/>
      <c r="T4" s="369"/>
    </row>
    <row r="5" spans="1:22" x14ac:dyDescent="0.25">
      <c r="A5" s="250" t="str">
        <f>'A4-FinPerf RE'!A5</f>
        <v>Property rates</v>
      </c>
      <c r="B5" s="1606">
        <v>2123383.9674999998</v>
      </c>
      <c r="C5" s="1606">
        <v>2123383.9674999998</v>
      </c>
      <c r="D5" s="1606">
        <v>2123383.9674999998</v>
      </c>
      <c r="E5" s="1606">
        <v>2123383.9674999998</v>
      </c>
      <c r="F5" s="1606">
        <v>2123383.9674999998</v>
      </c>
      <c r="G5" s="1606">
        <v>2123383.9674999998</v>
      </c>
      <c r="H5" s="1606">
        <v>2123383.9674999998</v>
      </c>
      <c r="I5" s="1606">
        <v>2123383.9674999998</v>
      </c>
      <c r="J5" s="1606">
        <v>2123383.9674999998</v>
      </c>
      <c r="K5" s="1606">
        <v>2123383.9674999998</v>
      </c>
      <c r="L5" s="1606">
        <v>2123383.9674999998</v>
      </c>
      <c r="M5" s="204">
        <f t="shared" ref="M5:M20" si="0">N5-SUM(B5:L5)</f>
        <v>2123383.9674999975</v>
      </c>
      <c r="N5" s="1608">
        <v>25480607.609999999</v>
      </c>
      <c r="O5" s="1606">
        <f>N5*1.059</f>
        <v>26983963.458989996</v>
      </c>
      <c r="P5" s="1609">
        <f>O5*1.056</f>
        <v>28495065.412693437</v>
      </c>
      <c r="Q5" s="1630">
        <v>100001</v>
      </c>
      <c r="R5" s="1629">
        <v>100001</v>
      </c>
      <c r="S5" s="1629">
        <v>100001</v>
      </c>
      <c r="T5" s="369"/>
      <c r="U5" s="369"/>
      <c r="V5" s="369"/>
    </row>
    <row r="6" spans="1:22" x14ac:dyDescent="0.25">
      <c r="A6" s="250" t="str">
        <f>'A4-FinPerf RE'!A6</f>
        <v>Property rates - penalties &amp; collection charges</v>
      </c>
      <c r="B6" s="1606">
        <v>0</v>
      </c>
      <c r="C6" s="1606">
        <v>0</v>
      </c>
      <c r="D6" s="1606">
        <v>0</v>
      </c>
      <c r="E6" s="1606">
        <v>0</v>
      </c>
      <c r="F6" s="1606">
        <v>0</v>
      </c>
      <c r="G6" s="1606">
        <v>0</v>
      </c>
      <c r="H6" s="1606">
        <v>0</v>
      </c>
      <c r="I6" s="1606">
        <v>0</v>
      </c>
      <c r="J6" s="1606">
        <v>0</v>
      </c>
      <c r="K6" s="1606">
        <v>0</v>
      </c>
      <c r="L6" s="1606">
        <v>0</v>
      </c>
      <c r="M6" s="204">
        <f t="shared" si="0"/>
        <v>0</v>
      </c>
      <c r="N6" s="1608"/>
      <c r="O6" s="1606">
        <f t="shared" ref="O6:O20" si="1">N6*1.059</f>
        <v>0</v>
      </c>
      <c r="P6" s="1609">
        <f t="shared" ref="P6:P20" si="2">O6*1.056</f>
        <v>0</v>
      </c>
      <c r="T6" s="369"/>
      <c r="U6" s="369"/>
      <c r="V6" s="369"/>
    </row>
    <row r="7" spans="1:22" x14ac:dyDescent="0.25">
      <c r="A7" s="250" t="str">
        <f>'A4-FinPerf RE'!A7</f>
        <v>Service charges - electricity revenue</v>
      </c>
      <c r="B7" s="1606">
        <v>0</v>
      </c>
      <c r="C7" s="1606">
        <v>0</v>
      </c>
      <c r="D7" s="1606">
        <v>0</v>
      </c>
      <c r="E7" s="1606">
        <v>0</v>
      </c>
      <c r="F7" s="1606">
        <v>0</v>
      </c>
      <c r="G7" s="1606">
        <v>0</v>
      </c>
      <c r="H7" s="1606">
        <v>0</v>
      </c>
      <c r="I7" s="1606">
        <v>0</v>
      </c>
      <c r="J7" s="1606">
        <v>0</v>
      </c>
      <c r="K7" s="1606">
        <v>0</v>
      </c>
      <c r="L7" s="1606">
        <v>0</v>
      </c>
      <c r="M7" s="204">
        <f t="shared" si="0"/>
        <v>0</v>
      </c>
      <c r="N7" s="1608"/>
      <c r="O7" s="1606">
        <f t="shared" si="1"/>
        <v>0</v>
      </c>
      <c r="P7" s="1609">
        <f t="shared" si="2"/>
        <v>0</v>
      </c>
      <c r="T7" s="369"/>
      <c r="U7" s="369"/>
      <c r="V7" s="369"/>
    </row>
    <row r="8" spans="1:22" x14ac:dyDescent="0.25">
      <c r="A8" s="250" t="str">
        <f>'A4-FinPerf RE'!A8</f>
        <v>Service charges - water revenue</v>
      </c>
      <c r="B8" s="1606">
        <v>1152817.3566666667</v>
      </c>
      <c r="C8" s="1606">
        <v>1152817.3566666667</v>
      </c>
      <c r="D8" s="1606">
        <v>1152817.3566666667</v>
      </c>
      <c r="E8" s="1606">
        <v>1152817.3566666667</v>
      </c>
      <c r="F8" s="1606">
        <v>1152817.3566666667</v>
      </c>
      <c r="G8" s="1606">
        <v>1152817.3566666667</v>
      </c>
      <c r="H8" s="1606">
        <v>1152817.3566666667</v>
      </c>
      <c r="I8" s="1606">
        <v>1152817.3566666667</v>
      </c>
      <c r="J8" s="1606">
        <v>1152817.3566666667</v>
      </c>
      <c r="K8" s="1606">
        <v>1152817.3566666667</v>
      </c>
      <c r="L8" s="1606">
        <v>1152817.3566666667</v>
      </c>
      <c r="M8" s="204">
        <f t="shared" si="0"/>
        <v>1152817.3566666637</v>
      </c>
      <c r="N8" s="1608">
        <v>13833808.279999999</v>
      </c>
      <c r="O8" s="1606">
        <f t="shared" si="1"/>
        <v>14650002.968519999</v>
      </c>
      <c r="P8" s="1609">
        <f t="shared" si="2"/>
        <v>15470403.13475712</v>
      </c>
      <c r="T8" s="369"/>
      <c r="U8" s="369"/>
      <c r="V8" s="369"/>
    </row>
    <row r="9" spans="1:22" x14ac:dyDescent="0.25">
      <c r="A9" s="250" t="str">
        <f>'A4-FinPerf RE'!A9</f>
        <v>Service charges - sanitation revenue</v>
      </c>
      <c r="B9" s="1606">
        <v>17451.822499999998</v>
      </c>
      <c r="C9" s="1606">
        <v>17451.822499999998</v>
      </c>
      <c r="D9" s="1606">
        <v>17451.822499999998</v>
      </c>
      <c r="E9" s="1606">
        <v>17451.822499999998</v>
      </c>
      <c r="F9" s="1606">
        <v>17451.822499999998</v>
      </c>
      <c r="G9" s="1606">
        <v>17451.822499999998</v>
      </c>
      <c r="H9" s="1606">
        <v>17451.822499999998</v>
      </c>
      <c r="I9" s="1606">
        <v>17451.822499999998</v>
      </c>
      <c r="J9" s="1606">
        <v>17451.822499999998</v>
      </c>
      <c r="K9" s="1606">
        <v>17451.822499999998</v>
      </c>
      <c r="L9" s="1606">
        <v>17451.822499999998</v>
      </c>
      <c r="M9" s="204">
        <f t="shared" si="0"/>
        <v>17451.82249999998</v>
      </c>
      <c r="N9" s="1608">
        <v>209421.87</v>
      </c>
      <c r="O9" s="1606">
        <f t="shared" si="1"/>
        <v>221777.76032999999</v>
      </c>
      <c r="P9" s="1609">
        <f t="shared" si="2"/>
        <v>234197.31490848001</v>
      </c>
      <c r="T9" s="369"/>
      <c r="U9" s="369"/>
      <c r="V9" s="369"/>
    </row>
    <row r="10" spans="1:22" x14ac:dyDescent="0.25">
      <c r="A10" s="250" t="str">
        <f>'A4-FinPerf RE'!A10</f>
        <v>Service charges - refuse revenue</v>
      </c>
      <c r="B10" s="1606">
        <v>237553.99750000003</v>
      </c>
      <c r="C10" s="1606">
        <v>237553.99750000003</v>
      </c>
      <c r="D10" s="1606">
        <v>237553.99750000003</v>
      </c>
      <c r="E10" s="1606">
        <v>237553.99750000003</v>
      </c>
      <c r="F10" s="1606">
        <v>237553.99750000003</v>
      </c>
      <c r="G10" s="1606">
        <v>237553.99750000003</v>
      </c>
      <c r="H10" s="1606">
        <v>237553.99750000003</v>
      </c>
      <c r="I10" s="1606">
        <v>237553.99750000003</v>
      </c>
      <c r="J10" s="1606">
        <v>237553.99750000003</v>
      </c>
      <c r="K10" s="1606">
        <v>237553.99750000003</v>
      </c>
      <c r="L10" s="1606">
        <v>237553.99750000003</v>
      </c>
      <c r="M10" s="204">
        <f t="shared" si="0"/>
        <v>237553.99749999959</v>
      </c>
      <c r="N10" s="1608">
        <v>2850647.9699999997</v>
      </c>
      <c r="O10" s="1606">
        <f t="shared" si="1"/>
        <v>3018836.2002299996</v>
      </c>
      <c r="P10" s="1609">
        <f t="shared" si="2"/>
        <v>3187891.0274428795</v>
      </c>
      <c r="T10" s="369"/>
      <c r="U10" s="369"/>
      <c r="V10" s="369"/>
    </row>
    <row r="11" spans="1:22" x14ac:dyDescent="0.25">
      <c r="A11" s="250" t="str">
        <f>'A4-FinPerf RE'!A11</f>
        <v>Service charges - other</v>
      </c>
      <c r="B11" s="1606">
        <v>0</v>
      </c>
      <c r="C11" s="1606">
        <v>0</v>
      </c>
      <c r="D11" s="1606">
        <v>0</v>
      </c>
      <c r="E11" s="1606">
        <v>0</v>
      </c>
      <c r="F11" s="1606">
        <v>0</v>
      </c>
      <c r="G11" s="1606">
        <v>0</v>
      </c>
      <c r="H11" s="1606">
        <v>0</v>
      </c>
      <c r="I11" s="1606">
        <v>0</v>
      </c>
      <c r="J11" s="1606">
        <v>0</v>
      </c>
      <c r="K11" s="1606">
        <v>0</v>
      </c>
      <c r="L11" s="1606">
        <v>0</v>
      </c>
      <c r="M11" s="204">
        <f t="shared" si="0"/>
        <v>0</v>
      </c>
      <c r="N11" s="1608">
        <v>0</v>
      </c>
      <c r="O11" s="1606">
        <f t="shared" si="1"/>
        <v>0</v>
      </c>
      <c r="P11" s="1609">
        <f t="shared" si="2"/>
        <v>0</v>
      </c>
      <c r="T11" s="369"/>
      <c r="U11" s="369"/>
      <c r="V11" s="369"/>
    </row>
    <row r="12" spans="1:22" x14ac:dyDescent="0.25">
      <c r="A12" s="250" t="str">
        <f>'A4-FinPerf RE'!A12</f>
        <v>Rental of facilities and equipment</v>
      </c>
      <c r="B12" s="1606">
        <v>47116.708333333336</v>
      </c>
      <c r="C12" s="1606">
        <v>47116.708333333336</v>
      </c>
      <c r="D12" s="1606">
        <v>47116.708333333336</v>
      </c>
      <c r="E12" s="1606">
        <v>47116.708333333336</v>
      </c>
      <c r="F12" s="1606">
        <v>47116.708333333336</v>
      </c>
      <c r="G12" s="1606">
        <v>47116.708333333336</v>
      </c>
      <c r="H12" s="1606">
        <v>47116.708333333336</v>
      </c>
      <c r="I12" s="1606">
        <v>47116.708333333336</v>
      </c>
      <c r="J12" s="1606">
        <v>47116.708333333336</v>
      </c>
      <c r="K12" s="1606">
        <v>47116.708333333336</v>
      </c>
      <c r="L12" s="1606">
        <v>47116.708333333336</v>
      </c>
      <c r="M12" s="204">
        <f t="shared" si="0"/>
        <v>47116.70833333343</v>
      </c>
      <c r="N12" s="1608">
        <v>565400.5</v>
      </c>
      <c r="O12" s="1606">
        <f t="shared" si="1"/>
        <v>598759.12949999992</v>
      </c>
      <c r="P12" s="1609">
        <f t="shared" si="2"/>
        <v>632289.64075199992</v>
      </c>
      <c r="T12" s="369"/>
      <c r="U12" s="369"/>
      <c r="V12" s="369"/>
    </row>
    <row r="13" spans="1:22" x14ac:dyDescent="0.25">
      <c r="A13" s="250" t="str">
        <f>'A4-FinPerf RE'!A13</f>
        <v>Interest earned - external investments</v>
      </c>
      <c r="B13" s="1606">
        <v>205748.88749999998</v>
      </c>
      <c r="C13" s="1606">
        <v>205748.88749999998</v>
      </c>
      <c r="D13" s="1606">
        <v>205748.88749999998</v>
      </c>
      <c r="E13" s="1606">
        <v>205748.88749999998</v>
      </c>
      <c r="F13" s="1606">
        <v>205748.88749999998</v>
      </c>
      <c r="G13" s="1606">
        <v>205748.88749999998</v>
      </c>
      <c r="H13" s="1606">
        <v>205748.88749999998</v>
      </c>
      <c r="I13" s="1606">
        <v>205748.88749999998</v>
      </c>
      <c r="J13" s="1606">
        <v>205748.88749999998</v>
      </c>
      <c r="K13" s="1606">
        <v>205748.88749999998</v>
      </c>
      <c r="L13" s="1606">
        <v>205748.88749999998</v>
      </c>
      <c r="M13" s="204">
        <f t="shared" si="0"/>
        <v>205748.88750000019</v>
      </c>
      <c r="N13" s="1608">
        <v>2468986.65</v>
      </c>
      <c r="O13" s="1606">
        <f t="shared" si="1"/>
        <v>2614656.8623499996</v>
      </c>
      <c r="P13" s="1609">
        <f t="shared" si="2"/>
        <v>2761077.6466415995</v>
      </c>
      <c r="T13" s="369"/>
      <c r="U13" s="369"/>
      <c r="V13" s="369"/>
    </row>
    <row r="14" spans="1:22" x14ac:dyDescent="0.25">
      <c r="A14" s="250" t="str">
        <f>'A4-FinPerf RE'!A14</f>
        <v>Interest earned - outstanding debtors</v>
      </c>
      <c r="B14" s="1606">
        <v>23884.916666666668</v>
      </c>
      <c r="C14" s="1606">
        <v>23884.916666666668</v>
      </c>
      <c r="D14" s="1606">
        <v>23884.916666666668</v>
      </c>
      <c r="E14" s="1606">
        <v>23884.916666666668</v>
      </c>
      <c r="F14" s="1606">
        <v>23884.916666666668</v>
      </c>
      <c r="G14" s="1606">
        <v>23884.916666666668</v>
      </c>
      <c r="H14" s="1606">
        <v>23884.916666666668</v>
      </c>
      <c r="I14" s="1606">
        <v>23884.916666666668</v>
      </c>
      <c r="J14" s="1606">
        <v>23884.916666666668</v>
      </c>
      <c r="K14" s="1606">
        <v>23884.916666666668</v>
      </c>
      <c r="L14" s="1606">
        <v>23884.916666666668</v>
      </c>
      <c r="M14" s="204">
        <f t="shared" si="0"/>
        <v>23884.916666666686</v>
      </c>
      <c r="N14" s="1608">
        <v>286619</v>
      </c>
      <c r="O14" s="1606">
        <f t="shared" si="1"/>
        <v>303529.52100000001</v>
      </c>
      <c r="P14" s="1609">
        <f t="shared" si="2"/>
        <v>320527.174176</v>
      </c>
      <c r="T14" s="369"/>
      <c r="U14" s="369"/>
      <c r="V14" s="369"/>
    </row>
    <row r="15" spans="1:22" x14ac:dyDescent="0.25">
      <c r="A15" s="250" t="str">
        <f>'A4-FinPerf RE'!A15</f>
        <v>Dividends received</v>
      </c>
      <c r="B15" s="1629">
        <v>0</v>
      </c>
      <c r="C15" s="1629">
        <v>0</v>
      </c>
      <c r="D15" s="1629">
        <v>0</v>
      </c>
      <c r="E15" s="1629">
        <v>0</v>
      </c>
      <c r="F15" s="1629">
        <v>0</v>
      </c>
      <c r="G15" s="1629">
        <v>0</v>
      </c>
      <c r="H15" s="1629">
        <v>0</v>
      </c>
      <c r="I15" s="1629">
        <v>0</v>
      </c>
      <c r="J15" s="1629">
        <v>0</v>
      </c>
      <c r="K15" s="1629">
        <v>0</v>
      </c>
      <c r="L15" s="1629">
        <v>0</v>
      </c>
      <c r="M15" s="204">
        <f t="shared" si="0"/>
        <v>0</v>
      </c>
      <c r="N15" s="1608">
        <v>0</v>
      </c>
      <c r="O15" s="1606">
        <f t="shared" si="1"/>
        <v>0</v>
      </c>
      <c r="P15" s="1609">
        <f t="shared" si="2"/>
        <v>0</v>
      </c>
      <c r="T15" s="369"/>
      <c r="U15" s="369"/>
      <c r="V15" s="369"/>
    </row>
    <row r="16" spans="1:22" x14ac:dyDescent="0.25">
      <c r="A16" s="250" t="str">
        <f>'A4-FinPerf RE'!A16</f>
        <v>Fines</v>
      </c>
      <c r="B16" s="1606">
        <v>125000</v>
      </c>
      <c r="C16" s="1606">
        <v>125000</v>
      </c>
      <c r="D16" s="1606">
        <v>125000</v>
      </c>
      <c r="E16" s="1606">
        <v>125000</v>
      </c>
      <c r="F16" s="1606">
        <v>125000</v>
      </c>
      <c r="G16" s="1606">
        <v>125000</v>
      </c>
      <c r="H16" s="1606">
        <v>125000</v>
      </c>
      <c r="I16" s="1606">
        <v>125000</v>
      </c>
      <c r="J16" s="1606">
        <v>125000</v>
      </c>
      <c r="K16" s="1606">
        <v>125000</v>
      </c>
      <c r="L16" s="1606">
        <v>125000</v>
      </c>
      <c r="M16" s="204">
        <f t="shared" si="0"/>
        <v>125000</v>
      </c>
      <c r="N16" s="1608">
        <v>1500000</v>
      </c>
      <c r="O16" s="1606">
        <f t="shared" si="1"/>
        <v>1588500</v>
      </c>
      <c r="P16" s="1609">
        <f t="shared" si="2"/>
        <v>1677456</v>
      </c>
      <c r="T16" s="369"/>
      <c r="U16" s="369"/>
      <c r="V16" s="369"/>
    </row>
    <row r="17" spans="1:23" x14ac:dyDescent="0.25">
      <c r="A17" s="250" t="str">
        <f>'A4-FinPerf RE'!A17</f>
        <v>Licences and permits</v>
      </c>
      <c r="B17" s="1606">
        <v>26011.459166666667</v>
      </c>
      <c r="C17" s="1606">
        <v>26011.459166666667</v>
      </c>
      <c r="D17" s="1606">
        <v>26011.459166666667</v>
      </c>
      <c r="E17" s="1606">
        <v>26011.459166666667</v>
      </c>
      <c r="F17" s="1606">
        <v>26011.459166666667</v>
      </c>
      <c r="G17" s="1606">
        <v>26011.459166666667</v>
      </c>
      <c r="H17" s="1606">
        <v>26011.459166666667</v>
      </c>
      <c r="I17" s="1606">
        <v>26011.459166666667</v>
      </c>
      <c r="J17" s="1606">
        <v>26011.459166666667</v>
      </c>
      <c r="K17" s="1606">
        <v>26011.459166666667</v>
      </c>
      <c r="L17" s="1606">
        <v>26011.459166666667</v>
      </c>
      <c r="M17" s="204">
        <f t="shared" si="0"/>
        <v>26011.459166666667</v>
      </c>
      <c r="N17" s="1608">
        <v>312137.51</v>
      </c>
      <c r="O17" s="1606">
        <f t="shared" si="1"/>
        <v>330553.62309000001</v>
      </c>
      <c r="P17" s="1609">
        <f t="shared" si="2"/>
        <v>349064.62598304002</v>
      </c>
      <c r="T17" s="369"/>
      <c r="U17" s="369"/>
      <c r="V17" s="369"/>
    </row>
    <row r="18" spans="1:23" x14ac:dyDescent="0.25">
      <c r="A18" s="250" t="str">
        <f>'A4-FinPerf RE'!A18</f>
        <v>Agency services</v>
      </c>
      <c r="B18" s="1606">
        <v>511366.66666666669</v>
      </c>
      <c r="C18" s="1606">
        <v>511366.66666666669</v>
      </c>
      <c r="D18" s="1606">
        <v>511366.66666666669</v>
      </c>
      <c r="E18" s="1606">
        <v>511366.66666666669</v>
      </c>
      <c r="F18" s="1606">
        <v>511366.66666666669</v>
      </c>
      <c r="G18" s="1606">
        <v>511366.66666666669</v>
      </c>
      <c r="H18" s="1606">
        <v>511366.66666666669</v>
      </c>
      <c r="I18" s="1606">
        <v>511366.66666666669</v>
      </c>
      <c r="J18" s="1606">
        <v>511366.66666666669</v>
      </c>
      <c r="K18" s="1606">
        <v>511366.66666666669</v>
      </c>
      <c r="L18" s="1606">
        <v>511366.66666666669</v>
      </c>
      <c r="M18" s="204">
        <f t="shared" si="0"/>
        <v>511366.66666666605</v>
      </c>
      <c r="N18" s="1608">
        <v>6136400</v>
      </c>
      <c r="O18" s="1606">
        <f t="shared" si="1"/>
        <v>6498447.5999999996</v>
      </c>
      <c r="P18" s="1609">
        <f t="shared" si="2"/>
        <v>6862360.6655999999</v>
      </c>
      <c r="T18" s="369"/>
      <c r="U18" s="369"/>
      <c r="V18" s="369"/>
    </row>
    <row r="19" spans="1:23" x14ac:dyDescent="0.25">
      <c r="A19" s="190" t="s">
        <v>565</v>
      </c>
      <c r="B19" s="1606">
        <v>103097000</v>
      </c>
      <c r="C19" s="1606"/>
      <c r="D19" s="1606"/>
      <c r="E19" s="1606"/>
      <c r="F19" s="1606"/>
      <c r="G19" s="1606">
        <v>103097000</v>
      </c>
      <c r="H19" s="1606"/>
      <c r="I19" s="1606"/>
      <c r="J19" s="1606">
        <v>103097000</v>
      </c>
      <c r="K19" s="1606"/>
      <c r="L19" s="1606"/>
      <c r="M19" s="204">
        <f t="shared" si="0"/>
        <v>0</v>
      </c>
      <c r="N19" s="1608">
        <v>309291000</v>
      </c>
      <c r="O19" s="1606">
        <f t="shared" si="1"/>
        <v>327539169</v>
      </c>
      <c r="P19" s="1609">
        <f t="shared" si="2"/>
        <v>345881362.46399999</v>
      </c>
      <c r="T19" s="369"/>
      <c r="U19" s="369"/>
      <c r="V19" s="369"/>
    </row>
    <row r="20" spans="1:23" x14ac:dyDescent="0.25">
      <c r="A20" s="250" t="str">
        <f>'A4-FinPerf RE'!A20</f>
        <v>Other revenue</v>
      </c>
      <c r="B20" s="1606">
        <v>2284163.0858333334</v>
      </c>
      <c r="C20" s="1606">
        <v>2284163.0858333334</v>
      </c>
      <c r="D20" s="1606">
        <v>2284163.0858333334</v>
      </c>
      <c r="E20" s="1606">
        <v>2284163.0858333334</v>
      </c>
      <c r="F20" s="1606">
        <v>2284163.0858333334</v>
      </c>
      <c r="G20" s="1606">
        <v>2284163.0858333334</v>
      </c>
      <c r="H20" s="1606">
        <v>2284163.0858333334</v>
      </c>
      <c r="I20" s="1606">
        <v>2284163.0858333334</v>
      </c>
      <c r="J20" s="1606">
        <v>2284163.0858333334</v>
      </c>
      <c r="K20" s="1606">
        <v>2284163.0858333334</v>
      </c>
      <c r="L20" s="1606">
        <v>2284163.0858333334</v>
      </c>
      <c r="M20" s="204">
        <f t="shared" si="0"/>
        <v>2284163.0858333334</v>
      </c>
      <c r="N20" s="1608">
        <v>27409957.030000001</v>
      </c>
      <c r="O20" s="1606">
        <f t="shared" si="1"/>
        <v>29027144.494769998</v>
      </c>
      <c r="P20" s="1609">
        <f t="shared" si="2"/>
        <v>30652664.586477119</v>
      </c>
      <c r="T20" s="369"/>
      <c r="U20" s="369"/>
      <c r="V20" s="369"/>
    </row>
    <row r="21" spans="1:23" x14ac:dyDescent="0.25">
      <c r="A21" s="649" t="s">
        <v>1599</v>
      </c>
      <c r="B21" s="269">
        <f t="shared" ref="B21:P21" si="3">SUM(B5:B20)</f>
        <v>109851498.86833334</v>
      </c>
      <c r="C21" s="267">
        <f t="shared" si="3"/>
        <v>6754498.8683333332</v>
      </c>
      <c r="D21" s="267">
        <f t="shared" si="3"/>
        <v>6754498.8683333332</v>
      </c>
      <c r="E21" s="267">
        <f t="shared" si="3"/>
        <v>6754498.8683333332</v>
      </c>
      <c r="F21" s="267">
        <f t="shared" si="3"/>
        <v>6754498.8683333332</v>
      </c>
      <c r="G21" s="267">
        <f t="shared" si="3"/>
        <v>109851498.86833334</v>
      </c>
      <c r="H21" s="267">
        <f t="shared" si="3"/>
        <v>6754498.8683333332</v>
      </c>
      <c r="I21" s="267">
        <f t="shared" si="3"/>
        <v>6754498.8683333332</v>
      </c>
      <c r="J21" s="267">
        <f t="shared" si="3"/>
        <v>109851498.86833334</v>
      </c>
      <c r="K21" s="267">
        <f t="shared" si="3"/>
        <v>6754498.8683333332</v>
      </c>
      <c r="L21" s="267">
        <f t="shared" si="3"/>
        <v>6754498.8683333332</v>
      </c>
      <c r="M21" s="268">
        <f t="shared" si="3"/>
        <v>6754498.8683333267</v>
      </c>
      <c r="N21" s="270">
        <f t="shared" si="3"/>
        <v>390344986.41999996</v>
      </c>
      <c r="O21" s="267">
        <f t="shared" si="3"/>
        <v>413375340.61877996</v>
      </c>
      <c r="P21" s="1512">
        <f t="shared" si="3"/>
        <v>436524359.69343168</v>
      </c>
      <c r="Q21" s="369"/>
      <c r="R21" s="369"/>
      <c r="S21" s="369"/>
      <c r="T21" s="369"/>
      <c r="U21" s="369"/>
      <c r="V21" s="369"/>
      <c r="W21" s="369"/>
    </row>
    <row r="22" spans="1:23" ht="5.0999999999999996" customHeight="1" x14ac:dyDescent="0.25">
      <c r="A22" s="812"/>
      <c r="B22" s="251"/>
      <c r="C22" s="207"/>
      <c r="D22" s="207"/>
      <c r="E22" s="207"/>
      <c r="F22" s="207"/>
      <c r="G22" s="207"/>
      <c r="H22" s="207"/>
      <c r="I22" s="207"/>
      <c r="J22" s="207"/>
      <c r="K22" s="207"/>
      <c r="L22" s="207"/>
      <c r="M22" s="264"/>
      <c r="N22" s="211"/>
      <c r="O22" s="207"/>
      <c r="P22" s="558"/>
      <c r="Q22" s="369"/>
      <c r="R22" s="369"/>
      <c r="S22" s="369"/>
      <c r="T22" s="369"/>
      <c r="U22" s="369"/>
      <c r="V22" s="369"/>
      <c r="W22" s="369"/>
    </row>
    <row r="23" spans="1:23" ht="11.25" customHeight="1" x14ac:dyDescent="0.25">
      <c r="A23" s="371" t="s">
        <v>923</v>
      </c>
      <c r="B23" s="251"/>
      <c r="C23" s="207"/>
      <c r="D23" s="207"/>
      <c r="E23" s="207"/>
      <c r="F23" s="207"/>
      <c r="G23" s="207"/>
      <c r="H23" s="207"/>
      <c r="I23" s="207"/>
      <c r="J23" s="207"/>
      <c r="K23" s="207"/>
      <c r="L23" s="207"/>
      <c r="M23" s="264"/>
      <c r="N23" s="211"/>
      <c r="O23" s="207"/>
      <c r="P23" s="558"/>
      <c r="Q23" s="369"/>
      <c r="R23" s="369"/>
      <c r="S23" s="369"/>
      <c r="T23" s="369"/>
      <c r="U23" s="369"/>
      <c r="V23" s="369"/>
      <c r="W23" s="369"/>
    </row>
    <row r="24" spans="1:23" ht="11.25" customHeight="1" x14ac:dyDescent="0.25">
      <c r="A24" s="325" t="s">
        <v>564</v>
      </c>
      <c r="B24" s="1629">
        <v>40079666.666666664</v>
      </c>
      <c r="C24" s="1606">
        <v>0</v>
      </c>
      <c r="D24" s="1606">
        <v>0</v>
      </c>
      <c r="E24" s="1606">
        <v>0</v>
      </c>
      <c r="F24" s="1606">
        <v>40079666.666666664</v>
      </c>
      <c r="G24" s="1606">
        <v>0</v>
      </c>
      <c r="H24" s="1606">
        <v>0</v>
      </c>
      <c r="I24" s="1606">
        <v>0</v>
      </c>
      <c r="J24" s="1606">
        <v>40079666.666666664</v>
      </c>
      <c r="K24" s="1606">
        <v>0</v>
      </c>
      <c r="L24" s="1606">
        <v>0</v>
      </c>
      <c r="M24" s="264">
        <f t="shared" ref="M24:M32" si="4">N24-SUM(B24:L24)</f>
        <v>0</v>
      </c>
      <c r="N24" s="1608">
        <v>120239000</v>
      </c>
      <c r="O24" s="1606">
        <f>N24*1.059</f>
        <v>127333101</v>
      </c>
      <c r="P24" s="1609">
        <f>O24*1.056</f>
        <v>134463754.65600002</v>
      </c>
      <c r="Q24" s="369"/>
      <c r="R24" s="369"/>
      <c r="S24" s="369"/>
      <c r="T24" s="369"/>
      <c r="U24" s="369"/>
      <c r="V24" s="369"/>
      <c r="W24" s="369"/>
    </row>
    <row r="25" spans="1:23" ht="11.25" customHeight="1" x14ac:dyDescent="0.25">
      <c r="A25" s="254" t="str">
        <f>'A4-FinPerf RE'!A40&amp;" &amp; "&amp;'A4-FinPerf RE'!A41</f>
        <v>Contributions recognised - capital &amp; Contributed assets</v>
      </c>
      <c r="B25" s="1629">
        <v>0</v>
      </c>
      <c r="C25" s="1606">
        <v>0</v>
      </c>
      <c r="D25" s="1606">
        <v>0</v>
      </c>
      <c r="E25" s="1606">
        <v>0</v>
      </c>
      <c r="F25" s="1606">
        <v>0</v>
      </c>
      <c r="G25" s="1606">
        <v>0</v>
      </c>
      <c r="H25" s="1606">
        <v>0</v>
      </c>
      <c r="I25" s="1606">
        <v>0</v>
      </c>
      <c r="J25" s="1606">
        <v>0</v>
      </c>
      <c r="K25" s="1606">
        <v>0</v>
      </c>
      <c r="L25" s="1606">
        <v>0</v>
      </c>
      <c r="M25" s="264">
        <f t="shared" si="4"/>
        <v>0</v>
      </c>
      <c r="N25" s="1608">
        <v>0</v>
      </c>
      <c r="O25" s="1606">
        <v>0</v>
      </c>
      <c r="P25" s="1609">
        <v>0</v>
      </c>
      <c r="Q25" s="369"/>
      <c r="R25" s="369"/>
      <c r="S25" s="369"/>
      <c r="T25" s="369"/>
      <c r="U25" s="369"/>
      <c r="V25" s="369"/>
      <c r="W25" s="369"/>
    </row>
    <row r="26" spans="1:23" ht="11.25" customHeight="1" x14ac:dyDescent="0.25">
      <c r="A26" s="254" t="str">
        <f>'A7-CFlow'!A21</f>
        <v>Proceeds on disposal of PPE</v>
      </c>
      <c r="B26" s="1629">
        <v>0</v>
      </c>
      <c r="C26" s="1606">
        <v>0</v>
      </c>
      <c r="D26" s="1606">
        <v>0</v>
      </c>
      <c r="E26" s="1606">
        <v>0</v>
      </c>
      <c r="F26" s="1606">
        <v>0</v>
      </c>
      <c r="G26" s="1606">
        <v>0</v>
      </c>
      <c r="H26" s="1606">
        <v>0</v>
      </c>
      <c r="I26" s="1606">
        <v>0</v>
      </c>
      <c r="J26" s="1606">
        <v>0</v>
      </c>
      <c r="K26" s="1606">
        <v>0</v>
      </c>
      <c r="L26" s="1606">
        <v>0</v>
      </c>
      <c r="M26" s="264">
        <f t="shared" si="4"/>
        <v>0</v>
      </c>
      <c r="N26" s="1608">
        <v>0</v>
      </c>
      <c r="O26" s="1606">
        <v>0</v>
      </c>
      <c r="P26" s="1609">
        <v>0</v>
      </c>
      <c r="Q26" s="369"/>
      <c r="R26" s="369"/>
      <c r="S26" s="369"/>
      <c r="T26" s="369"/>
      <c r="U26" s="369"/>
      <c r="V26" s="369"/>
      <c r="W26" s="369"/>
    </row>
    <row r="27" spans="1:23" ht="11.25" customHeight="1" x14ac:dyDescent="0.25">
      <c r="A27" s="254" t="str">
        <f>'A7-CFlow'!A31</f>
        <v>Short term loans</v>
      </c>
      <c r="B27" s="1629">
        <v>0</v>
      </c>
      <c r="C27" s="1606">
        <v>0</v>
      </c>
      <c r="D27" s="1606">
        <v>0</v>
      </c>
      <c r="E27" s="1606">
        <v>0</v>
      </c>
      <c r="F27" s="1606">
        <v>0</v>
      </c>
      <c r="G27" s="1606">
        <v>0</v>
      </c>
      <c r="H27" s="1606">
        <v>0</v>
      </c>
      <c r="I27" s="1606">
        <v>0</v>
      </c>
      <c r="J27" s="1606">
        <v>0</v>
      </c>
      <c r="K27" s="1606">
        <v>0</v>
      </c>
      <c r="L27" s="1606">
        <v>0</v>
      </c>
      <c r="M27" s="264">
        <f t="shared" si="4"/>
        <v>0</v>
      </c>
      <c r="N27" s="1608">
        <v>0</v>
      </c>
      <c r="O27" s="1606">
        <v>0</v>
      </c>
      <c r="P27" s="1609">
        <v>0</v>
      </c>
      <c r="Q27" s="369"/>
      <c r="R27" s="369"/>
      <c r="S27" s="369"/>
      <c r="T27" s="369"/>
      <c r="U27" s="369"/>
      <c r="V27" s="369"/>
      <c r="W27" s="369"/>
    </row>
    <row r="28" spans="1:23" ht="11.25" customHeight="1" x14ac:dyDescent="0.25">
      <c r="A28" s="254" t="str">
        <f>'A7-CFlow'!A32</f>
        <v>Borrowing long term/refinancing</v>
      </c>
      <c r="B28" s="1629">
        <v>0</v>
      </c>
      <c r="C28" s="1606">
        <v>0</v>
      </c>
      <c r="D28" s="1606">
        <v>0</v>
      </c>
      <c r="E28" s="1606">
        <v>0</v>
      </c>
      <c r="F28" s="1606">
        <v>0</v>
      </c>
      <c r="G28" s="1606">
        <v>0</v>
      </c>
      <c r="H28" s="1606">
        <v>0</v>
      </c>
      <c r="I28" s="1606">
        <v>0</v>
      </c>
      <c r="J28" s="1606">
        <v>0</v>
      </c>
      <c r="K28" s="1606">
        <v>0</v>
      </c>
      <c r="L28" s="1606">
        <v>0</v>
      </c>
      <c r="M28" s="264">
        <f t="shared" si="4"/>
        <v>0</v>
      </c>
      <c r="N28" s="1608">
        <v>0</v>
      </c>
      <c r="O28" s="1606">
        <v>0</v>
      </c>
      <c r="P28" s="1609">
        <v>0</v>
      </c>
      <c r="Q28" s="369"/>
      <c r="R28" s="369"/>
      <c r="S28" s="369"/>
      <c r="T28" s="369"/>
      <c r="U28" s="369"/>
      <c r="V28" s="369"/>
      <c r="W28" s="369"/>
    </row>
    <row r="29" spans="1:23" ht="11.25" customHeight="1" x14ac:dyDescent="0.25">
      <c r="A29" s="254" t="str">
        <f>'A7-CFlow'!A33</f>
        <v>Increase (decrease) in consumer deposits</v>
      </c>
      <c r="B29" s="1629">
        <v>0</v>
      </c>
      <c r="C29" s="1606">
        <v>0</v>
      </c>
      <c r="D29" s="1606">
        <v>0</v>
      </c>
      <c r="E29" s="1606">
        <v>0</v>
      </c>
      <c r="F29" s="1606">
        <v>0</v>
      </c>
      <c r="G29" s="1606">
        <v>0</v>
      </c>
      <c r="H29" s="1606">
        <v>0</v>
      </c>
      <c r="I29" s="1606">
        <v>0</v>
      </c>
      <c r="J29" s="1606">
        <v>0</v>
      </c>
      <c r="K29" s="1606">
        <v>0</v>
      </c>
      <c r="L29" s="1606">
        <v>0</v>
      </c>
      <c r="M29" s="264">
        <f t="shared" si="4"/>
        <v>0</v>
      </c>
      <c r="N29" s="1608">
        <v>0</v>
      </c>
      <c r="O29" s="1606">
        <v>0</v>
      </c>
      <c r="P29" s="1609">
        <v>0</v>
      </c>
      <c r="Q29" s="369"/>
      <c r="R29" s="369"/>
      <c r="S29" s="369"/>
      <c r="T29" s="369"/>
      <c r="U29" s="369"/>
      <c r="V29" s="369"/>
      <c r="W29" s="369"/>
    </row>
    <row r="30" spans="1:23" ht="11.25" customHeight="1" x14ac:dyDescent="0.25">
      <c r="A30" s="254" t="str">
        <f>'A7-CFlow'!A22</f>
        <v>Decrease (Increase) in non-current debtors</v>
      </c>
      <c r="B30" s="1629">
        <v>0</v>
      </c>
      <c r="C30" s="1606">
        <v>0</v>
      </c>
      <c r="D30" s="1606">
        <v>0</v>
      </c>
      <c r="E30" s="1606">
        <v>0</v>
      </c>
      <c r="F30" s="1606">
        <v>0</v>
      </c>
      <c r="G30" s="1606">
        <v>0</v>
      </c>
      <c r="H30" s="1606">
        <v>0</v>
      </c>
      <c r="I30" s="1606">
        <v>0</v>
      </c>
      <c r="J30" s="1606">
        <v>0</v>
      </c>
      <c r="K30" s="1606">
        <v>0</v>
      </c>
      <c r="L30" s="1606">
        <v>0</v>
      </c>
      <c r="M30" s="264">
        <f t="shared" si="4"/>
        <v>0</v>
      </c>
      <c r="N30" s="1608">
        <v>0</v>
      </c>
      <c r="O30" s="1606">
        <v>0</v>
      </c>
      <c r="P30" s="1609">
        <v>0</v>
      </c>
      <c r="Q30" s="369"/>
      <c r="R30" s="369"/>
      <c r="S30" s="369"/>
      <c r="T30" s="369"/>
      <c r="U30" s="369"/>
      <c r="V30" s="369"/>
      <c r="W30" s="369"/>
    </row>
    <row r="31" spans="1:23" ht="11.25" customHeight="1" x14ac:dyDescent="0.25">
      <c r="A31" s="254" t="str">
        <f>'A7-CFlow'!A23</f>
        <v>Decrease (increase) other non-current receivables</v>
      </c>
      <c r="B31" s="1629">
        <v>0</v>
      </c>
      <c r="C31" s="1606">
        <v>0</v>
      </c>
      <c r="D31" s="1606">
        <v>0</v>
      </c>
      <c r="E31" s="1606">
        <v>0</v>
      </c>
      <c r="F31" s="1606">
        <v>0</v>
      </c>
      <c r="G31" s="1606">
        <v>0</v>
      </c>
      <c r="H31" s="1606">
        <v>0</v>
      </c>
      <c r="I31" s="1606">
        <v>0</v>
      </c>
      <c r="J31" s="1606">
        <v>0</v>
      </c>
      <c r="K31" s="1606">
        <v>0</v>
      </c>
      <c r="L31" s="1606">
        <v>0</v>
      </c>
      <c r="M31" s="264">
        <f t="shared" si="4"/>
        <v>0</v>
      </c>
      <c r="N31" s="1608">
        <v>0</v>
      </c>
      <c r="O31" s="1606">
        <v>0</v>
      </c>
      <c r="P31" s="1609">
        <v>0</v>
      </c>
      <c r="Q31" s="369"/>
      <c r="R31" s="369"/>
      <c r="S31" s="369"/>
      <c r="T31" s="369"/>
      <c r="U31" s="369"/>
      <c r="V31" s="369"/>
      <c r="W31" s="369"/>
    </row>
    <row r="32" spans="1:23" ht="11.25" customHeight="1" x14ac:dyDescent="0.25">
      <c r="A32" s="254" t="str">
        <f>'A7-CFlow'!A24</f>
        <v>Decrease (increase) in non-current investments</v>
      </c>
      <c r="B32" s="1629">
        <v>0</v>
      </c>
      <c r="C32" s="1606">
        <v>0</v>
      </c>
      <c r="D32" s="1606">
        <v>0</v>
      </c>
      <c r="E32" s="1606">
        <v>0</v>
      </c>
      <c r="F32" s="1606">
        <v>0</v>
      </c>
      <c r="G32" s="1606">
        <v>0</v>
      </c>
      <c r="H32" s="1606">
        <v>0</v>
      </c>
      <c r="I32" s="1606">
        <v>0</v>
      </c>
      <c r="J32" s="1606">
        <v>0</v>
      </c>
      <c r="K32" s="1606">
        <v>0</v>
      </c>
      <c r="L32" s="1606">
        <v>0</v>
      </c>
      <c r="M32" s="264">
        <f t="shared" si="4"/>
        <v>0</v>
      </c>
      <c r="N32" s="1608">
        <v>0</v>
      </c>
      <c r="O32" s="1606">
        <v>0</v>
      </c>
      <c r="P32" s="1609">
        <v>0</v>
      </c>
      <c r="Q32" s="369"/>
      <c r="R32" s="369"/>
      <c r="S32" s="369"/>
      <c r="T32" s="369"/>
      <c r="U32" s="369"/>
      <c r="V32" s="369"/>
      <c r="W32" s="369"/>
    </row>
    <row r="33" spans="1:23" ht="11.25" customHeight="1" x14ac:dyDescent="0.25">
      <c r="A33" s="806" t="s">
        <v>710</v>
      </c>
      <c r="B33" s="810">
        <f t="shared" ref="B33:P33" si="5">SUM(B21:B32)</f>
        <v>149931165.535</v>
      </c>
      <c r="C33" s="808">
        <f t="shared" si="5"/>
        <v>6754498.8683333332</v>
      </c>
      <c r="D33" s="808">
        <f t="shared" si="5"/>
        <v>6754498.8683333332</v>
      </c>
      <c r="E33" s="808">
        <f t="shared" si="5"/>
        <v>6754498.8683333332</v>
      </c>
      <c r="F33" s="808">
        <f t="shared" si="5"/>
        <v>46834165.534999996</v>
      </c>
      <c r="G33" s="808">
        <f t="shared" si="5"/>
        <v>109851498.86833334</v>
      </c>
      <c r="H33" s="808">
        <f t="shared" si="5"/>
        <v>6754498.8683333332</v>
      </c>
      <c r="I33" s="808">
        <f t="shared" si="5"/>
        <v>6754498.8683333332</v>
      </c>
      <c r="J33" s="808">
        <f t="shared" si="5"/>
        <v>149931165.535</v>
      </c>
      <c r="K33" s="808">
        <f t="shared" si="5"/>
        <v>6754498.8683333332</v>
      </c>
      <c r="L33" s="808">
        <f t="shared" si="5"/>
        <v>6754498.8683333332</v>
      </c>
      <c r="M33" s="809">
        <f t="shared" si="5"/>
        <v>6754498.8683333267</v>
      </c>
      <c r="N33" s="1103">
        <f t="shared" si="5"/>
        <v>510583986.41999996</v>
      </c>
      <c r="O33" s="808">
        <f t="shared" si="5"/>
        <v>540708441.6187799</v>
      </c>
      <c r="P33" s="2650">
        <f t="shared" si="5"/>
        <v>570988114.34943175</v>
      </c>
      <c r="Q33" s="369"/>
      <c r="R33" s="369"/>
      <c r="S33" s="369"/>
      <c r="T33" s="369"/>
      <c r="U33" s="369"/>
      <c r="V33" s="369"/>
      <c r="W33" s="369"/>
    </row>
    <row r="34" spans="1:23" ht="5.0999999999999996" customHeight="1" x14ac:dyDescent="0.25">
      <c r="A34" s="877"/>
      <c r="B34" s="251"/>
      <c r="C34" s="207"/>
      <c r="D34" s="207"/>
      <c r="E34" s="207"/>
      <c r="F34" s="207"/>
      <c r="G34" s="207"/>
      <c r="H34" s="207"/>
      <c r="I34" s="207"/>
      <c r="J34" s="207"/>
      <c r="K34" s="207"/>
      <c r="L34" s="207"/>
      <c r="M34" s="264"/>
      <c r="N34" s="211"/>
      <c r="O34" s="207"/>
      <c r="P34" s="558"/>
      <c r="Q34" s="369"/>
      <c r="R34" s="369"/>
      <c r="S34" s="369"/>
      <c r="T34" s="369"/>
      <c r="U34" s="369"/>
      <c r="V34" s="369"/>
      <c r="W34" s="369"/>
    </row>
    <row r="35" spans="1:23" x14ac:dyDescent="0.25">
      <c r="A35" s="805" t="s">
        <v>1600</v>
      </c>
      <c r="B35" s="251"/>
      <c r="C35" s="207"/>
      <c r="D35" s="207"/>
      <c r="E35" s="207"/>
      <c r="F35" s="207"/>
      <c r="G35" s="207"/>
      <c r="H35" s="207"/>
      <c r="I35" s="207"/>
      <c r="J35" s="207"/>
      <c r="K35" s="207"/>
      <c r="L35" s="207"/>
      <c r="M35" s="264"/>
      <c r="N35" s="263"/>
      <c r="O35" s="207"/>
      <c r="P35" s="558"/>
      <c r="Q35" s="369"/>
      <c r="R35" s="369"/>
      <c r="S35" s="369"/>
      <c r="T35" s="369"/>
      <c r="U35" s="369"/>
      <c r="V35" s="369"/>
      <c r="W35" s="369"/>
    </row>
    <row r="36" spans="1:23" x14ac:dyDescent="0.25">
      <c r="A36" s="254" t="s">
        <v>475</v>
      </c>
      <c r="B36" s="1606">
        <v>8945042.5099999998</v>
      </c>
      <c r="C36" s="1606">
        <v>8945042.5099999998</v>
      </c>
      <c r="D36" s="1606">
        <v>8945042.5099999998</v>
      </c>
      <c r="E36" s="1606">
        <v>8945042.5099999998</v>
      </c>
      <c r="F36" s="1606">
        <v>8945042.5099999998</v>
      </c>
      <c r="G36" s="1606">
        <v>8945042.5099999998</v>
      </c>
      <c r="H36" s="1606">
        <v>8945042.5099999998</v>
      </c>
      <c r="I36" s="1606">
        <v>8945042.5099999998</v>
      </c>
      <c r="J36" s="1606">
        <v>8945042.5099999998</v>
      </c>
      <c r="K36" s="1606">
        <v>8945042.5099999998</v>
      </c>
      <c r="L36" s="1606">
        <v>8945042.5099999998</v>
      </c>
      <c r="M36" s="264">
        <f t="shared" ref="M36:M45" si="6">N36-SUM(B36:L36)</f>
        <v>8945042.5099999905</v>
      </c>
      <c r="N36" s="1608">
        <v>107340510.12</v>
      </c>
      <c r="O36" s="1606">
        <f>N36*1.059</f>
        <v>113673600.21708</v>
      </c>
      <c r="P36" s="1609">
        <f>O36*1.056</f>
        <v>120039321.82923648</v>
      </c>
      <c r="Q36" s="369"/>
      <c r="R36" s="369"/>
      <c r="S36" s="369"/>
      <c r="T36" s="369"/>
      <c r="U36" s="369"/>
      <c r="V36" s="369"/>
      <c r="W36" s="369"/>
    </row>
    <row r="37" spans="1:23" x14ac:dyDescent="0.25">
      <c r="A37" s="254" t="s">
        <v>528</v>
      </c>
      <c r="B37" s="1606">
        <v>1538541.6266666667</v>
      </c>
      <c r="C37" s="1606">
        <v>1538541.6266666667</v>
      </c>
      <c r="D37" s="1606">
        <v>1538541.6266666667</v>
      </c>
      <c r="E37" s="1606">
        <v>1538541.6266666667</v>
      </c>
      <c r="F37" s="1606">
        <v>1538541.6266666667</v>
      </c>
      <c r="G37" s="1606">
        <v>1538541.6266666667</v>
      </c>
      <c r="H37" s="1606">
        <v>1538541.6266666667</v>
      </c>
      <c r="I37" s="1606">
        <v>1538541.6266666667</v>
      </c>
      <c r="J37" s="1606">
        <v>1538541.6266666667</v>
      </c>
      <c r="K37" s="1606">
        <v>1538541.6266666667</v>
      </c>
      <c r="L37" s="1606">
        <v>1538541.6266666667</v>
      </c>
      <c r="M37" s="264">
        <f t="shared" si="6"/>
        <v>1538541.6266666688</v>
      </c>
      <c r="N37" s="1608">
        <v>18462499.520000003</v>
      </c>
      <c r="O37" s="1606">
        <f t="shared" ref="O37:O45" si="7">N37*1.059</f>
        <v>19551786.991680004</v>
      </c>
      <c r="P37" s="1609">
        <f t="shared" ref="P37:P45" si="8">O37*1.056</f>
        <v>20646687.063214086</v>
      </c>
      <c r="Q37" s="369"/>
      <c r="R37" s="369"/>
      <c r="S37" s="369"/>
      <c r="T37" s="369"/>
      <c r="U37" s="369"/>
      <c r="V37" s="369"/>
      <c r="W37" s="369"/>
    </row>
    <row r="38" spans="1:23" x14ac:dyDescent="0.25">
      <c r="A38" s="254" t="s">
        <v>1546</v>
      </c>
      <c r="B38" s="1606">
        <v>0</v>
      </c>
      <c r="C38" s="1606">
        <v>0</v>
      </c>
      <c r="D38" s="1606">
        <v>0</v>
      </c>
      <c r="E38" s="1606">
        <v>0</v>
      </c>
      <c r="F38" s="1606">
        <v>0</v>
      </c>
      <c r="G38" s="1606">
        <v>0</v>
      </c>
      <c r="H38" s="1606">
        <v>0</v>
      </c>
      <c r="I38" s="1606">
        <v>0</v>
      </c>
      <c r="J38" s="1606">
        <v>0</v>
      </c>
      <c r="K38" s="1606">
        <v>0</v>
      </c>
      <c r="L38" s="1606">
        <v>0</v>
      </c>
      <c r="M38" s="264">
        <f t="shared" si="6"/>
        <v>0</v>
      </c>
      <c r="N38" s="1608"/>
      <c r="O38" s="1606">
        <f t="shared" si="7"/>
        <v>0</v>
      </c>
      <c r="P38" s="1609">
        <f t="shared" si="8"/>
        <v>0</v>
      </c>
      <c r="Q38" s="369"/>
      <c r="R38" s="369"/>
      <c r="S38" s="369"/>
      <c r="T38" s="369"/>
      <c r="U38" s="369"/>
      <c r="V38" s="369"/>
      <c r="W38" s="369"/>
    </row>
    <row r="39" spans="1:23" x14ac:dyDescent="0.25">
      <c r="A39" s="254" t="s">
        <v>709</v>
      </c>
      <c r="B39" s="1606">
        <v>0</v>
      </c>
      <c r="C39" s="1606">
        <v>0</v>
      </c>
      <c r="D39" s="1606">
        <v>0</v>
      </c>
      <c r="E39" s="1606">
        <v>0</v>
      </c>
      <c r="F39" s="1606">
        <v>0</v>
      </c>
      <c r="G39" s="1606">
        <v>0</v>
      </c>
      <c r="H39" s="1606">
        <v>0</v>
      </c>
      <c r="I39" s="1606">
        <v>0</v>
      </c>
      <c r="J39" s="1606">
        <v>0</v>
      </c>
      <c r="K39" s="1606">
        <v>0</v>
      </c>
      <c r="L39" s="1606">
        <v>0</v>
      </c>
      <c r="M39" s="264">
        <f t="shared" si="6"/>
        <v>0</v>
      </c>
      <c r="N39" s="1608"/>
      <c r="O39" s="1606">
        <f t="shared" si="7"/>
        <v>0</v>
      </c>
      <c r="P39" s="1609">
        <f t="shared" si="8"/>
        <v>0</v>
      </c>
      <c r="Q39" s="369"/>
      <c r="R39" s="369"/>
      <c r="S39" s="369"/>
      <c r="T39" s="369"/>
      <c r="U39" s="369"/>
      <c r="V39" s="369"/>
      <c r="W39" s="369"/>
    </row>
    <row r="40" spans="1:23" x14ac:dyDescent="0.25">
      <c r="A40" s="254" t="s">
        <v>712</v>
      </c>
      <c r="B40" s="1606">
        <v>12470088.416666666</v>
      </c>
      <c r="C40" s="1606">
        <v>12470088.416666666</v>
      </c>
      <c r="D40" s="1606">
        <v>12470088.416666666</v>
      </c>
      <c r="E40" s="1606">
        <v>12470088.416666666</v>
      </c>
      <c r="F40" s="1606">
        <v>12470088.416666666</v>
      </c>
      <c r="G40" s="1606">
        <v>12470088.416666666</v>
      </c>
      <c r="H40" s="1606">
        <v>12470088.416666666</v>
      </c>
      <c r="I40" s="1606">
        <v>12470088.416666666</v>
      </c>
      <c r="J40" s="1606">
        <v>12470088.416666666</v>
      </c>
      <c r="K40" s="1606">
        <v>12470088.416666666</v>
      </c>
      <c r="L40" s="1606">
        <v>12470088.416666666</v>
      </c>
      <c r="M40" s="264">
        <f t="shared" si="6"/>
        <v>12470088.416666657</v>
      </c>
      <c r="N40" s="1608">
        <v>149641061</v>
      </c>
      <c r="O40" s="1606">
        <f t="shared" si="7"/>
        <v>158469883.59899998</v>
      </c>
      <c r="P40" s="1609">
        <f t="shared" si="8"/>
        <v>167344197.08054399</v>
      </c>
      <c r="Q40" s="829"/>
      <c r="R40" s="369"/>
      <c r="S40" s="369"/>
      <c r="T40" s="369"/>
      <c r="U40" s="369"/>
      <c r="V40" s="369"/>
      <c r="W40" s="369"/>
    </row>
    <row r="41" spans="1:23" x14ac:dyDescent="0.25">
      <c r="A41" s="254" t="s">
        <v>1514</v>
      </c>
      <c r="B41" s="1606">
        <v>79166.666666666672</v>
      </c>
      <c r="C41" s="1606">
        <v>79166.666666666672</v>
      </c>
      <c r="D41" s="1606">
        <v>79166.666666666672</v>
      </c>
      <c r="E41" s="1606">
        <v>79166.666666666672</v>
      </c>
      <c r="F41" s="1606">
        <v>79166.666666666672</v>
      </c>
      <c r="G41" s="1606">
        <v>79166.666666666672</v>
      </c>
      <c r="H41" s="1606">
        <v>79166.666666666672</v>
      </c>
      <c r="I41" s="1606">
        <v>79166.666666666672</v>
      </c>
      <c r="J41" s="1606">
        <v>79166.666666666672</v>
      </c>
      <c r="K41" s="1606">
        <v>79166.666666666672</v>
      </c>
      <c r="L41" s="1606">
        <v>79166.666666666672</v>
      </c>
      <c r="M41" s="264">
        <f t="shared" si="6"/>
        <v>229166.66666666674</v>
      </c>
      <c r="N41" s="1608">
        <v>1100000</v>
      </c>
      <c r="O41" s="1606">
        <f t="shared" si="7"/>
        <v>1164900</v>
      </c>
      <c r="P41" s="1609">
        <f t="shared" si="8"/>
        <v>1230134.4000000001</v>
      </c>
      <c r="Q41" s="829"/>
      <c r="R41" s="369"/>
      <c r="S41" s="369"/>
      <c r="T41" s="369"/>
      <c r="U41" s="369"/>
      <c r="V41" s="369"/>
      <c r="W41" s="369"/>
    </row>
    <row r="42" spans="1:23" x14ac:dyDescent="0.25">
      <c r="A42" s="254" t="s">
        <v>478</v>
      </c>
      <c r="B42" s="1606">
        <v>916666.66666666663</v>
      </c>
      <c r="C42" s="1606">
        <v>916666.66666666663</v>
      </c>
      <c r="D42" s="1606">
        <v>916666.66666666663</v>
      </c>
      <c r="E42" s="1606">
        <v>916666.66666666663</v>
      </c>
      <c r="F42" s="1606">
        <v>916666.66666666663</v>
      </c>
      <c r="G42" s="1606">
        <v>916666.66666666663</v>
      </c>
      <c r="H42" s="1606">
        <v>916666.66666666663</v>
      </c>
      <c r="I42" s="1606">
        <v>916666.66666666663</v>
      </c>
      <c r="J42" s="1606">
        <v>916666.66666666663</v>
      </c>
      <c r="K42" s="1606">
        <v>916666.66666666663</v>
      </c>
      <c r="L42" s="1606">
        <v>916666.66666666663</v>
      </c>
      <c r="M42" s="264">
        <f t="shared" si="6"/>
        <v>916666.66666666605</v>
      </c>
      <c r="N42" s="1608">
        <v>11000000</v>
      </c>
      <c r="O42" s="1606">
        <f t="shared" si="7"/>
        <v>11649000</v>
      </c>
      <c r="P42" s="1609">
        <f t="shared" si="8"/>
        <v>12301344</v>
      </c>
      <c r="Q42" s="369"/>
      <c r="R42" s="369"/>
      <c r="S42" s="369"/>
      <c r="T42" s="369"/>
      <c r="U42" s="369"/>
      <c r="V42" s="369"/>
      <c r="W42" s="369"/>
    </row>
    <row r="43" spans="1:23" x14ac:dyDescent="0.25">
      <c r="A43" s="254" t="s">
        <v>2045</v>
      </c>
      <c r="B43" s="1606">
        <v>0</v>
      </c>
      <c r="C43" s="1606">
        <v>0</v>
      </c>
      <c r="D43" s="1606">
        <v>0</v>
      </c>
      <c r="E43" s="1606">
        <v>0</v>
      </c>
      <c r="F43" s="1606">
        <v>0</v>
      </c>
      <c r="G43" s="1606">
        <v>0</v>
      </c>
      <c r="H43" s="1606">
        <v>0</v>
      </c>
      <c r="I43" s="1606">
        <v>0</v>
      </c>
      <c r="J43" s="1606">
        <v>0</v>
      </c>
      <c r="K43" s="1606">
        <v>0</v>
      </c>
      <c r="L43" s="1606">
        <v>0</v>
      </c>
      <c r="M43" s="264">
        <f t="shared" si="6"/>
        <v>0</v>
      </c>
      <c r="N43" s="1608">
        <v>0</v>
      </c>
      <c r="O43" s="1606">
        <f t="shared" si="7"/>
        <v>0</v>
      </c>
      <c r="P43" s="1609">
        <f t="shared" si="8"/>
        <v>0</v>
      </c>
      <c r="Q43" s="369"/>
      <c r="R43" s="369"/>
      <c r="S43" s="369"/>
      <c r="T43" s="369"/>
      <c r="U43" s="369"/>
      <c r="V43" s="369"/>
      <c r="W43" s="369"/>
    </row>
    <row r="44" spans="1:23" x14ac:dyDescent="0.25">
      <c r="A44" s="254" t="s">
        <v>2046</v>
      </c>
      <c r="B44" s="1606">
        <v>358333.33333333331</v>
      </c>
      <c r="C44" s="1606">
        <v>358333.33333333331</v>
      </c>
      <c r="D44" s="1606">
        <v>358333.33333333331</v>
      </c>
      <c r="E44" s="1606">
        <v>358333.33333333331</v>
      </c>
      <c r="F44" s="1606">
        <v>358333.33333333331</v>
      </c>
      <c r="G44" s="1606">
        <v>358333.33333333331</v>
      </c>
      <c r="H44" s="1606">
        <v>358333.33333333331</v>
      </c>
      <c r="I44" s="1606">
        <v>358333.33333333331</v>
      </c>
      <c r="J44" s="1606">
        <v>358333.33333333331</v>
      </c>
      <c r="K44" s="1606">
        <v>358333.33333333331</v>
      </c>
      <c r="L44" s="1606">
        <v>358333.33333333331</v>
      </c>
      <c r="M44" s="264">
        <f t="shared" si="6"/>
        <v>358333.33333333256</v>
      </c>
      <c r="N44" s="1608">
        <v>4300000</v>
      </c>
      <c r="O44" s="1606">
        <f t="shared" si="7"/>
        <v>4553700</v>
      </c>
      <c r="P44" s="1609">
        <f t="shared" si="8"/>
        <v>4808707.2</v>
      </c>
      <c r="Q44" s="369"/>
      <c r="R44" s="369"/>
      <c r="S44" s="369"/>
      <c r="T44" s="369"/>
      <c r="U44" s="369"/>
      <c r="V44" s="369"/>
      <c r="W44" s="369"/>
    </row>
    <row r="45" spans="1:23" x14ac:dyDescent="0.25">
      <c r="A45" s="254" t="s">
        <v>950</v>
      </c>
      <c r="B45" s="1606">
        <v>8545898.416666666</v>
      </c>
      <c r="C45" s="1606">
        <v>8545898.416666666</v>
      </c>
      <c r="D45" s="1606">
        <v>8545898.416666666</v>
      </c>
      <c r="E45" s="1606">
        <v>8545898.416666666</v>
      </c>
      <c r="F45" s="1606">
        <v>8545898.416666666</v>
      </c>
      <c r="G45" s="1606">
        <v>8545898.416666666</v>
      </c>
      <c r="H45" s="1606">
        <v>8545898.416666666</v>
      </c>
      <c r="I45" s="1606">
        <v>8545898.416666666</v>
      </c>
      <c r="J45" s="1606">
        <v>8545898.416666666</v>
      </c>
      <c r="K45" s="1606">
        <v>8545898.416666666</v>
      </c>
      <c r="L45" s="1606">
        <v>8545898.416666666</v>
      </c>
      <c r="M45" s="264">
        <f t="shared" si="6"/>
        <v>8395898.4166666567</v>
      </c>
      <c r="N45" s="1608">
        <v>102400781</v>
      </c>
      <c r="O45" s="1606">
        <f t="shared" si="7"/>
        <v>108442427.079</v>
      </c>
      <c r="P45" s="1609">
        <f t="shared" si="8"/>
        <v>114515202.995424</v>
      </c>
      <c r="Q45" s="369"/>
      <c r="R45" s="369"/>
      <c r="S45" s="369"/>
      <c r="T45" s="369"/>
      <c r="U45" s="369"/>
      <c r="V45" s="369"/>
      <c r="W45" s="369"/>
    </row>
    <row r="46" spans="1:23" x14ac:dyDescent="0.25">
      <c r="A46" s="649" t="s">
        <v>1600</v>
      </c>
      <c r="B46" s="269">
        <f t="shared" ref="B46:O46" si="9">SUM(B36:B45)</f>
        <v>32853737.63666667</v>
      </c>
      <c r="C46" s="267">
        <f t="shared" si="9"/>
        <v>32853737.63666667</v>
      </c>
      <c r="D46" s="267">
        <f t="shared" si="9"/>
        <v>32853737.63666667</v>
      </c>
      <c r="E46" s="267">
        <f t="shared" si="9"/>
        <v>32853737.63666667</v>
      </c>
      <c r="F46" s="267">
        <f t="shared" si="9"/>
        <v>32853737.63666667</v>
      </c>
      <c r="G46" s="267">
        <f t="shared" si="9"/>
        <v>32853737.63666667</v>
      </c>
      <c r="H46" s="267">
        <f t="shared" si="9"/>
        <v>32853737.63666667</v>
      </c>
      <c r="I46" s="267">
        <f t="shared" si="9"/>
        <v>32853737.63666667</v>
      </c>
      <c r="J46" s="267">
        <f t="shared" si="9"/>
        <v>32853737.63666667</v>
      </c>
      <c r="K46" s="267">
        <f t="shared" si="9"/>
        <v>32853737.63666667</v>
      </c>
      <c r="L46" s="267">
        <f t="shared" si="9"/>
        <v>32853737.63666667</v>
      </c>
      <c r="M46" s="268">
        <f t="shared" si="9"/>
        <v>32853737.636666637</v>
      </c>
      <c r="N46" s="270">
        <f>SUM(N36:N45)</f>
        <v>394244851.63999999</v>
      </c>
      <c r="O46" s="267">
        <f t="shared" si="9"/>
        <v>417505297.88676</v>
      </c>
      <c r="P46" s="1512">
        <f>SUM(P36:P45)</f>
        <v>440885594.5684185</v>
      </c>
      <c r="Q46" s="369"/>
      <c r="R46" s="369"/>
      <c r="S46" s="369"/>
      <c r="T46" s="369"/>
      <c r="U46" s="369"/>
      <c r="V46" s="369"/>
      <c r="W46" s="369"/>
    </row>
    <row r="47" spans="1:23" ht="5.0999999999999996" customHeight="1" x14ac:dyDescent="0.25">
      <c r="A47" s="812"/>
      <c r="B47" s="251"/>
      <c r="C47" s="207"/>
      <c r="D47" s="207"/>
      <c r="E47" s="207"/>
      <c r="F47" s="207"/>
      <c r="G47" s="207"/>
      <c r="H47" s="207"/>
      <c r="I47" s="207"/>
      <c r="J47" s="207"/>
      <c r="K47" s="207"/>
      <c r="L47" s="207"/>
      <c r="M47" s="264"/>
      <c r="N47" s="211"/>
      <c r="O47" s="207"/>
      <c r="P47" s="558"/>
      <c r="Q47" s="369"/>
      <c r="R47" s="369"/>
      <c r="S47" s="369"/>
      <c r="T47" s="369"/>
      <c r="U47" s="369"/>
      <c r="V47" s="369"/>
      <c r="W47" s="369"/>
    </row>
    <row r="48" spans="1:23" x14ac:dyDescent="0.25">
      <c r="A48" s="649" t="s">
        <v>303</v>
      </c>
      <c r="B48" s="251"/>
      <c r="C48" s="207"/>
      <c r="D48" s="207"/>
      <c r="E48" s="207"/>
      <c r="F48" s="207"/>
      <c r="G48" s="207"/>
      <c r="H48" s="207"/>
      <c r="I48" s="207"/>
      <c r="J48" s="207"/>
      <c r="K48" s="207"/>
      <c r="L48" s="207"/>
      <c r="M48" s="264"/>
      <c r="N48" s="211"/>
      <c r="O48" s="207"/>
      <c r="P48" s="558"/>
      <c r="Q48" s="369"/>
      <c r="R48" s="369"/>
      <c r="S48" s="369"/>
      <c r="T48" s="369"/>
      <c r="U48" s="369"/>
      <c r="V48" s="369"/>
      <c r="W48" s="369"/>
    </row>
    <row r="49" spans="1:23" x14ac:dyDescent="0.25">
      <c r="A49" s="254" t="str">
        <f>'A7-CFlow'!A26</f>
        <v>Capital assets</v>
      </c>
      <c r="B49" s="1629">
        <v>9694927.916666666</v>
      </c>
      <c r="C49" s="1606">
        <v>9694927.916666666</v>
      </c>
      <c r="D49" s="1606">
        <v>9694927.916666666</v>
      </c>
      <c r="E49" s="1606">
        <v>9694927.916666666</v>
      </c>
      <c r="F49" s="1606">
        <v>9694927.916666666</v>
      </c>
      <c r="G49" s="1606">
        <v>9694927.916666666</v>
      </c>
      <c r="H49" s="1606">
        <v>9694927.916666666</v>
      </c>
      <c r="I49" s="1606">
        <v>9694927.916666666</v>
      </c>
      <c r="J49" s="1606">
        <v>9694927.916666666</v>
      </c>
      <c r="K49" s="1606">
        <v>9694927.916666666</v>
      </c>
      <c r="L49" s="1606">
        <v>9694927.916666666</v>
      </c>
      <c r="M49" s="264">
        <f>N49-SUM(B49:L49)</f>
        <v>9694927.9166666567</v>
      </c>
      <c r="N49" s="1608">
        <f>A5A!J437</f>
        <v>116339135</v>
      </c>
      <c r="O49" s="1606">
        <f>N49*1.055</f>
        <v>122737787.425</v>
      </c>
      <c r="P49" s="1609">
        <f>O49*1.053</f>
        <v>129242890.15852499</v>
      </c>
      <c r="Q49" s="369"/>
      <c r="R49" s="369"/>
      <c r="S49" s="369"/>
      <c r="T49" s="369"/>
      <c r="U49" s="369"/>
      <c r="V49" s="369"/>
      <c r="W49" s="369"/>
    </row>
    <row r="50" spans="1:23" x14ac:dyDescent="0.25">
      <c r="A50" s="254" t="str">
        <f>'A7-CFlow'!A35</f>
        <v>Repayment of borrowing</v>
      </c>
      <c r="B50" s="1629">
        <v>0</v>
      </c>
      <c r="C50" s="1606">
        <v>0</v>
      </c>
      <c r="D50" s="1606">
        <v>0</v>
      </c>
      <c r="E50" s="1606">
        <v>0</v>
      </c>
      <c r="F50" s="1606">
        <v>0</v>
      </c>
      <c r="G50" s="1606">
        <v>0</v>
      </c>
      <c r="H50" s="1606">
        <v>0</v>
      </c>
      <c r="I50" s="1606">
        <v>0</v>
      </c>
      <c r="J50" s="1606">
        <v>0</v>
      </c>
      <c r="K50" s="1606">
        <v>0</v>
      </c>
      <c r="L50" s="1606">
        <v>0</v>
      </c>
      <c r="M50" s="264">
        <f>N50-SUM(B50:L50)</f>
        <v>0</v>
      </c>
      <c r="N50" s="1608">
        <v>0</v>
      </c>
      <c r="O50" s="1606">
        <v>0</v>
      </c>
      <c r="P50" s="1609">
        <v>0</v>
      </c>
      <c r="Q50" s="369"/>
      <c r="R50" s="369"/>
      <c r="S50" s="369"/>
      <c r="T50" s="369"/>
      <c r="U50" s="369"/>
      <c r="V50" s="369"/>
      <c r="W50" s="369"/>
    </row>
    <row r="51" spans="1:23" x14ac:dyDescent="0.25">
      <c r="A51" s="254" t="str">
        <f>LEFT(A48,25)</f>
        <v>Other Cash Flows/Payments</v>
      </c>
      <c r="B51" s="1629">
        <v>0</v>
      </c>
      <c r="C51" s="1606">
        <v>0</v>
      </c>
      <c r="D51" s="1606">
        <v>0</v>
      </c>
      <c r="E51" s="1606">
        <v>0</v>
      </c>
      <c r="F51" s="1606">
        <v>0</v>
      </c>
      <c r="G51" s="1606">
        <v>0</v>
      </c>
      <c r="H51" s="1606">
        <v>0</v>
      </c>
      <c r="I51" s="1606">
        <v>0</v>
      </c>
      <c r="J51" s="1606">
        <v>0</v>
      </c>
      <c r="K51" s="1606">
        <v>0</v>
      </c>
      <c r="L51" s="1606">
        <v>0</v>
      </c>
      <c r="M51" s="264">
        <f>N51-SUM(B51:L51)</f>
        <v>0</v>
      </c>
      <c r="N51" s="1608">
        <v>0</v>
      </c>
      <c r="O51" s="1606">
        <v>0</v>
      </c>
      <c r="P51" s="1609">
        <v>0</v>
      </c>
      <c r="Q51" s="369"/>
      <c r="R51" s="369"/>
      <c r="S51" s="369"/>
      <c r="T51" s="369"/>
      <c r="U51" s="369"/>
      <c r="V51" s="369"/>
      <c r="W51" s="369"/>
    </row>
    <row r="52" spans="1:23" x14ac:dyDescent="0.25">
      <c r="A52" s="806" t="s">
        <v>711</v>
      </c>
      <c r="B52" s="810">
        <f>SUM(B46:B51)</f>
        <v>42548665.553333335</v>
      </c>
      <c r="C52" s="808">
        <f t="shared" ref="C52:P52" si="10">SUM(C46:C51)</f>
        <v>42548665.553333335</v>
      </c>
      <c r="D52" s="808">
        <f t="shared" si="10"/>
        <v>42548665.553333335</v>
      </c>
      <c r="E52" s="808">
        <f t="shared" si="10"/>
        <v>42548665.553333335</v>
      </c>
      <c r="F52" s="808">
        <f t="shared" si="10"/>
        <v>42548665.553333335</v>
      </c>
      <c r="G52" s="808">
        <f t="shared" si="10"/>
        <v>42548665.553333335</v>
      </c>
      <c r="H52" s="808">
        <f t="shared" si="10"/>
        <v>42548665.553333335</v>
      </c>
      <c r="I52" s="808">
        <f t="shared" si="10"/>
        <v>42548665.553333335</v>
      </c>
      <c r="J52" s="808">
        <f t="shared" si="10"/>
        <v>42548665.553333335</v>
      </c>
      <c r="K52" s="808">
        <f t="shared" si="10"/>
        <v>42548665.553333335</v>
      </c>
      <c r="L52" s="808">
        <f t="shared" si="10"/>
        <v>42548665.553333335</v>
      </c>
      <c r="M52" s="809">
        <f t="shared" si="10"/>
        <v>42548665.553333297</v>
      </c>
      <c r="N52" s="1103">
        <f t="shared" si="10"/>
        <v>510583986.63999999</v>
      </c>
      <c r="O52" s="808">
        <f t="shared" si="10"/>
        <v>540243085.31175995</v>
      </c>
      <c r="P52" s="2650">
        <f t="shared" si="10"/>
        <v>570128484.72694349</v>
      </c>
      <c r="Q52" s="369"/>
      <c r="R52" s="878" t="s">
        <v>546</v>
      </c>
      <c r="S52" s="369"/>
      <c r="T52" s="369"/>
      <c r="U52" s="369"/>
      <c r="V52" s="369"/>
      <c r="W52" s="369"/>
    </row>
    <row r="53" spans="1:23" ht="5.0999999999999996" customHeight="1" x14ac:dyDescent="0.25">
      <c r="A53" s="812"/>
      <c r="B53" s="251"/>
      <c r="C53" s="207"/>
      <c r="D53" s="207"/>
      <c r="E53" s="207"/>
      <c r="F53" s="207"/>
      <c r="G53" s="207"/>
      <c r="H53" s="207"/>
      <c r="I53" s="207"/>
      <c r="J53" s="207"/>
      <c r="K53" s="207"/>
      <c r="L53" s="207"/>
      <c r="M53" s="264"/>
      <c r="N53" s="211"/>
      <c r="O53" s="207"/>
      <c r="P53" s="558"/>
      <c r="Q53" s="369"/>
      <c r="R53" s="369"/>
      <c r="S53" s="369"/>
      <c r="T53" s="369"/>
      <c r="U53" s="369"/>
      <c r="V53" s="369"/>
      <c r="W53" s="369"/>
    </row>
    <row r="54" spans="1:23" s="764" customFormat="1" ht="13.5" thickBot="1" x14ac:dyDescent="0.25">
      <c r="A54" s="879" t="s">
        <v>397</v>
      </c>
      <c r="B54" s="880">
        <f t="shared" ref="B54:P54" si="11">B33-B52</f>
        <v>107382499.98166665</v>
      </c>
      <c r="C54" s="881">
        <f t="shared" si="11"/>
        <v>-35794166.685000002</v>
      </c>
      <c r="D54" s="881">
        <f t="shared" si="11"/>
        <v>-35794166.685000002</v>
      </c>
      <c r="E54" s="881">
        <f t="shared" si="11"/>
        <v>-35794166.685000002</v>
      </c>
      <c r="F54" s="881">
        <f t="shared" si="11"/>
        <v>4285499.9816666618</v>
      </c>
      <c r="G54" s="881">
        <f t="shared" si="11"/>
        <v>67302833.314999998</v>
      </c>
      <c r="H54" s="881">
        <f t="shared" si="11"/>
        <v>-35794166.685000002</v>
      </c>
      <c r="I54" s="881">
        <f t="shared" si="11"/>
        <v>-35794166.685000002</v>
      </c>
      <c r="J54" s="881">
        <f t="shared" si="11"/>
        <v>107382499.98166665</v>
      </c>
      <c r="K54" s="881">
        <f t="shared" si="11"/>
        <v>-35794166.685000002</v>
      </c>
      <c r="L54" s="881">
        <f t="shared" si="11"/>
        <v>-35794166.685000002</v>
      </c>
      <c r="M54" s="882">
        <f t="shared" si="11"/>
        <v>-35794166.684999973</v>
      </c>
      <c r="N54" s="2651">
        <f t="shared" si="11"/>
        <v>-0.22000002861022949</v>
      </c>
      <c r="O54" s="881">
        <f t="shared" si="11"/>
        <v>465356.30701994896</v>
      </c>
      <c r="P54" s="2652">
        <f t="shared" si="11"/>
        <v>859629.62248826027</v>
      </c>
      <c r="Q54" s="883"/>
      <c r="R54" s="884"/>
      <c r="S54" s="885"/>
      <c r="T54" s="886"/>
      <c r="U54" s="886"/>
      <c r="V54" s="886"/>
      <c r="W54" s="886"/>
    </row>
    <row r="55" spans="1:23" ht="10.5" customHeight="1" x14ac:dyDescent="0.25">
      <c r="A55" s="812" t="s">
        <v>956</v>
      </c>
      <c r="B55" s="1959">
        <v>100000</v>
      </c>
      <c r="C55" s="365">
        <f>B56</f>
        <v>107482499.98166665</v>
      </c>
      <c r="D55" s="365">
        <f t="shared" ref="D55:M55" si="12">C56</f>
        <v>71688333.296666652</v>
      </c>
      <c r="E55" s="365">
        <f t="shared" si="12"/>
        <v>35894166.61166665</v>
      </c>
      <c r="F55" s="365">
        <f t="shared" si="12"/>
        <v>99999.926666647196</v>
      </c>
      <c r="G55" s="365">
        <f t="shared" si="12"/>
        <v>4385499.908333309</v>
      </c>
      <c r="H55" s="365">
        <f t="shared" si="12"/>
        <v>71688333.223333299</v>
      </c>
      <c r="I55" s="365">
        <f t="shared" si="12"/>
        <v>35894166.538333297</v>
      </c>
      <c r="J55" s="365">
        <f t="shared" si="12"/>
        <v>99999.853333294392</v>
      </c>
      <c r="K55" s="365">
        <f t="shared" si="12"/>
        <v>107482499.83499995</v>
      </c>
      <c r="L55" s="365">
        <f t="shared" si="12"/>
        <v>71688333.149999946</v>
      </c>
      <c r="M55" s="366">
        <f t="shared" si="12"/>
        <v>35894166.464999944</v>
      </c>
      <c r="N55" s="1311">
        <f>B55</f>
        <v>100000</v>
      </c>
      <c r="O55" s="365">
        <f>N56</f>
        <v>99999.77999997139</v>
      </c>
      <c r="P55" s="1313">
        <f>O56</f>
        <v>565356.08701992035</v>
      </c>
      <c r="Q55" s="369"/>
      <c r="R55" s="369"/>
      <c r="S55" s="369"/>
      <c r="T55" s="369"/>
      <c r="U55" s="369"/>
      <c r="V55" s="369"/>
      <c r="W55" s="369"/>
    </row>
    <row r="56" spans="1:23" ht="10.5" customHeight="1" x14ac:dyDescent="0.25">
      <c r="A56" s="887" t="s">
        <v>955</v>
      </c>
      <c r="B56" s="888">
        <f>B55+B54</f>
        <v>107482499.98166665</v>
      </c>
      <c r="C56" s="889">
        <f>C55+C54</f>
        <v>71688333.296666652</v>
      </c>
      <c r="D56" s="889">
        <f t="shared" ref="D56:P56" si="13">D55+D54</f>
        <v>35894166.61166665</v>
      </c>
      <c r="E56" s="889">
        <f t="shared" si="13"/>
        <v>99999.926666647196</v>
      </c>
      <c r="F56" s="889">
        <f t="shared" si="13"/>
        <v>4385499.908333309</v>
      </c>
      <c r="G56" s="889">
        <f t="shared" si="13"/>
        <v>71688333.223333299</v>
      </c>
      <c r="H56" s="889">
        <f t="shared" si="13"/>
        <v>35894166.538333297</v>
      </c>
      <c r="I56" s="889">
        <f t="shared" si="13"/>
        <v>99999.853333294392</v>
      </c>
      <c r="J56" s="889">
        <f t="shared" si="13"/>
        <v>107482499.83499995</v>
      </c>
      <c r="K56" s="889">
        <f t="shared" si="13"/>
        <v>71688333.149999946</v>
      </c>
      <c r="L56" s="889">
        <f t="shared" si="13"/>
        <v>35894166.464999944</v>
      </c>
      <c r="M56" s="890">
        <f t="shared" si="13"/>
        <v>99999.77999997139</v>
      </c>
      <c r="N56" s="2653">
        <f t="shared" si="13"/>
        <v>99999.77999997139</v>
      </c>
      <c r="O56" s="889">
        <f t="shared" si="13"/>
        <v>565356.08701992035</v>
      </c>
      <c r="P56" s="2654">
        <f t="shared" si="13"/>
        <v>1424985.7095081806</v>
      </c>
      <c r="Q56" s="369"/>
      <c r="R56" s="369"/>
      <c r="S56" s="369"/>
      <c r="T56" s="369"/>
      <c r="U56" s="369"/>
      <c r="V56" s="369"/>
      <c r="W56" s="369"/>
    </row>
    <row r="57" spans="1:23" ht="10.5" customHeight="1" x14ac:dyDescent="0.25">
      <c r="A57" s="1188" t="str">
        <f>head27a</f>
        <v>References</v>
      </c>
      <c r="B57" s="369"/>
      <c r="C57" s="369"/>
      <c r="D57" s="369"/>
      <c r="E57" s="369"/>
      <c r="F57" s="369"/>
      <c r="G57" s="369"/>
      <c r="H57" s="369"/>
      <c r="I57" s="369"/>
      <c r="J57" s="369"/>
      <c r="K57" s="369"/>
      <c r="L57" s="369"/>
      <c r="M57" s="369"/>
      <c r="N57" s="369"/>
      <c r="O57" s="369"/>
      <c r="P57" s="369"/>
      <c r="Q57" s="369"/>
      <c r="R57" s="369"/>
      <c r="S57" s="369"/>
      <c r="T57" s="369"/>
      <c r="U57" s="369"/>
      <c r="V57" s="369"/>
      <c r="W57" s="369"/>
    </row>
    <row r="58" spans="1:23" ht="27.75" customHeight="1" x14ac:dyDescent="0.25">
      <c r="A58" s="2784" t="s">
        <v>2276</v>
      </c>
      <c r="B58" s="2784"/>
      <c r="C58" s="2784"/>
      <c r="D58" s="2784"/>
      <c r="E58" s="2784"/>
      <c r="F58" s="2784"/>
      <c r="G58" s="2784"/>
      <c r="H58" s="2784"/>
      <c r="I58" s="2784"/>
      <c r="J58" s="2784"/>
      <c r="K58" s="2784"/>
      <c r="L58" s="2784"/>
      <c r="M58" s="2784"/>
      <c r="N58" s="2784"/>
      <c r="O58" s="2784"/>
      <c r="P58" s="2784"/>
      <c r="Q58" s="369"/>
      <c r="R58" s="369"/>
      <c r="S58" s="369"/>
      <c r="T58" s="369"/>
      <c r="U58" s="369"/>
      <c r="V58" s="369"/>
      <c r="W58" s="369"/>
    </row>
    <row r="59" spans="1:23" ht="10.5" customHeight="1" x14ac:dyDescent="0.25">
      <c r="A59" s="369"/>
      <c r="B59" s="369"/>
      <c r="C59" s="369"/>
      <c r="D59" s="369"/>
      <c r="E59" s="369"/>
      <c r="F59" s="369"/>
      <c r="G59" s="369"/>
      <c r="H59" s="369"/>
      <c r="I59" s="369"/>
      <c r="J59" s="369"/>
      <c r="K59" s="369"/>
      <c r="L59" s="369"/>
      <c r="M59" s="369"/>
      <c r="N59" s="369"/>
      <c r="O59" s="369"/>
      <c r="P59" s="369"/>
      <c r="Q59" s="369"/>
      <c r="R59" s="369"/>
      <c r="S59" s="369"/>
      <c r="T59" s="369"/>
      <c r="U59" s="369"/>
      <c r="V59" s="369"/>
      <c r="W59" s="369"/>
    </row>
    <row r="60" spans="1:23" ht="10.5" customHeight="1" x14ac:dyDescent="0.25">
      <c r="A60" s="369"/>
      <c r="B60" s="369"/>
      <c r="C60" s="369"/>
      <c r="D60" s="369"/>
      <c r="E60" s="369"/>
      <c r="F60" s="369"/>
      <c r="G60" s="369"/>
      <c r="H60" s="369"/>
      <c r="I60" s="369"/>
      <c r="J60" s="369"/>
      <c r="K60" s="369"/>
      <c r="L60" s="369"/>
      <c r="M60" s="369"/>
      <c r="N60" s="369"/>
      <c r="O60" s="369"/>
      <c r="P60" s="369"/>
      <c r="Q60" s="369"/>
      <c r="R60" s="369"/>
      <c r="S60" s="369"/>
      <c r="T60" s="369"/>
      <c r="U60" s="369"/>
      <c r="V60" s="369"/>
      <c r="W60" s="369"/>
    </row>
    <row r="61" spans="1:23" x14ac:dyDescent="0.25">
      <c r="A61" s="369"/>
      <c r="B61" s="369"/>
      <c r="C61" s="369"/>
      <c r="D61" s="369"/>
      <c r="E61" s="369"/>
      <c r="F61" s="369"/>
      <c r="G61" s="369"/>
      <c r="H61" s="369"/>
      <c r="I61" s="369"/>
      <c r="J61" s="369"/>
      <c r="K61" s="369"/>
      <c r="L61" s="369"/>
      <c r="M61" s="369"/>
      <c r="N61" s="369"/>
      <c r="O61" s="369"/>
      <c r="P61" s="369"/>
      <c r="Q61" s="369"/>
      <c r="R61" s="369"/>
      <c r="S61" s="369"/>
      <c r="T61" s="369"/>
      <c r="U61" s="369"/>
      <c r="V61" s="369"/>
      <c r="W61" s="369"/>
    </row>
    <row r="62" spans="1:23" x14ac:dyDescent="0.25">
      <c r="A62" s="369"/>
      <c r="B62" s="369"/>
      <c r="C62" s="369"/>
      <c r="D62" s="369"/>
      <c r="E62" s="363"/>
      <c r="F62" s="363"/>
      <c r="G62" s="363"/>
      <c r="H62" s="363"/>
      <c r="I62" s="363"/>
      <c r="J62" s="363"/>
      <c r="K62" s="363"/>
      <c r="L62" s="363"/>
      <c r="M62" s="363"/>
      <c r="N62" s="369"/>
      <c r="O62" s="369"/>
      <c r="P62" s="369"/>
      <c r="Q62" s="369"/>
      <c r="R62" s="369"/>
      <c r="S62" s="369"/>
      <c r="T62" s="369"/>
      <c r="U62" s="369"/>
      <c r="V62" s="369"/>
      <c r="W62" s="369"/>
    </row>
    <row r="63" spans="1:23" x14ac:dyDescent="0.25">
      <c r="A63" s="369"/>
      <c r="B63" s="369"/>
      <c r="C63" s="369"/>
      <c r="D63" s="369"/>
      <c r="E63" s="829">
        <f t="shared" ref="E63:P63" si="14">E46+E62</f>
        <v>32853737.63666667</v>
      </c>
      <c r="F63" s="829">
        <f t="shared" si="14"/>
        <v>32853737.63666667</v>
      </c>
      <c r="G63" s="829">
        <f t="shared" si="14"/>
        <v>32853737.63666667</v>
      </c>
      <c r="H63" s="829">
        <f t="shared" si="14"/>
        <v>32853737.63666667</v>
      </c>
      <c r="I63" s="829">
        <f t="shared" si="14"/>
        <v>32853737.63666667</v>
      </c>
      <c r="J63" s="829">
        <f t="shared" si="14"/>
        <v>32853737.63666667</v>
      </c>
      <c r="K63" s="829">
        <f t="shared" si="14"/>
        <v>32853737.63666667</v>
      </c>
      <c r="L63" s="829">
        <f t="shared" si="14"/>
        <v>32853737.63666667</v>
      </c>
      <c r="M63" s="829">
        <f t="shared" si="14"/>
        <v>32853737.636666637</v>
      </c>
      <c r="N63" s="829">
        <f t="shared" si="14"/>
        <v>394244851.63999999</v>
      </c>
      <c r="O63" s="829">
        <f t="shared" si="14"/>
        <v>417505297.88676</v>
      </c>
      <c r="P63" s="829">
        <f t="shared" si="14"/>
        <v>440885594.5684185</v>
      </c>
      <c r="Q63" s="369"/>
      <c r="R63" s="369"/>
      <c r="S63" s="369"/>
      <c r="T63" s="369"/>
      <c r="U63" s="369"/>
      <c r="V63" s="369"/>
      <c r="W63" s="369"/>
    </row>
    <row r="64" spans="1:23" x14ac:dyDescent="0.25">
      <c r="A64" s="369"/>
      <c r="B64" s="369"/>
      <c r="C64" s="369"/>
      <c r="D64" s="369"/>
      <c r="E64" s="829">
        <f t="shared" ref="E64:P64" si="15">E54-E62</f>
        <v>-35794166.685000002</v>
      </c>
      <c r="F64" s="829">
        <f t="shared" si="15"/>
        <v>4285499.9816666618</v>
      </c>
      <c r="G64" s="829">
        <f t="shared" si="15"/>
        <v>67302833.314999998</v>
      </c>
      <c r="H64" s="829">
        <f t="shared" si="15"/>
        <v>-35794166.685000002</v>
      </c>
      <c r="I64" s="829">
        <f t="shared" si="15"/>
        <v>-35794166.685000002</v>
      </c>
      <c r="J64" s="829">
        <f t="shared" si="15"/>
        <v>107382499.98166665</v>
      </c>
      <c r="K64" s="829">
        <f t="shared" si="15"/>
        <v>-35794166.685000002</v>
      </c>
      <c r="L64" s="829">
        <f t="shared" si="15"/>
        <v>-35794166.685000002</v>
      </c>
      <c r="M64" s="829">
        <f t="shared" si="15"/>
        <v>-35794166.684999973</v>
      </c>
      <c r="N64" s="829">
        <f t="shared" si="15"/>
        <v>-0.22000002861022949</v>
      </c>
      <c r="O64" s="829">
        <f t="shared" si="15"/>
        <v>465356.30701994896</v>
      </c>
      <c r="P64" s="829">
        <f t="shared" si="15"/>
        <v>859629.62248826027</v>
      </c>
      <c r="Q64" s="369"/>
      <c r="R64" s="369"/>
      <c r="S64" s="369"/>
      <c r="T64" s="369"/>
      <c r="U64" s="369"/>
      <c r="V64" s="369"/>
      <c r="W64" s="369"/>
    </row>
    <row r="65" spans="1:23" x14ac:dyDescent="0.25">
      <c r="A65" s="369"/>
      <c r="B65" s="369"/>
      <c r="C65" s="369"/>
      <c r="D65" s="369"/>
      <c r="E65" s="369"/>
      <c r="F65" s="369"/>
      <c r="G65" s="369"/>
      <c r="H65" s="369"/>
      <c r="I65" s="369"/>
      <c r="J65" s="369"/>
      <c r="K65" s="369"/>
      <c r="L65" s="369"/>
      <c r="M65" s="369"/>
      <c r="N65" s="369"/>
      <c r="O65" s="369"/>
      <c r="P65" s="369"/>
      <c r="Q65" s="369"/>
      <c r="R65" s="369"/>
      <c r="S65" s="369"/>
      <c r="T65" s="369"/>
      <c r="U65" s="369"/>
      <c r="V65" s="369"/>
      <c r="W65" s="369"/>
    </row>
    <row r="66" spans="1:23" x14ac:dyDescent="0.25">
      <c r="A66" s="369"/>
      <c r="B66" s="369"/>
      <c r="C66" s="369"/>
      <c r="D66" s="369"/>
      <c r="E66" s="369"/>
      <c r="F66" s="369"/>
      <c r="G66" s="369"/>
      <c r="H66" s="369"/>
      <c r="I66" s="369"/>
      <c r="J66" s="369"/>
      <c r="K66" s="369"/>
      <c r="L66" s="369"/>
      <c r="M66" s="369"/>
      <c r="N66" s="369"/>
      <c r="O66" s="369"/>
      <c r="P66" s="369"/>
      <c r="Q66" s="369"/>
      <c r="R66" s="369"/>
      <c r="S66" s="369"/>
      <c r="T66" s="369"/>
      <c r="U66" s="369"/>
      <c r="V66" s="369"/>
      <c r="W66" s="369"/>
    </row>
    <row r="67" spans="1:23" x14ac:dyDescent="0.25">
      <c r="A67" s="369"/>
      <c r="B67" s="369"/>
      <c r="C67" s="369"/>
      <c r="D67" s="369"/>
      <c r="E67" s="369"/>
      <c r="F67" s="369"/>
      <c r="G67" s="369"/>
      <c r="H67" s="369"/>
      <c r="I67" s="369"/>
      <c r="J67" s="369"/>
      <c r="K67" s="369"/>
      <c r="L67" s="369"/>
      <c r="M67" s="369"/>
      <c r="N67" s="369"/>
      <c r="O67" s="369"/>
      <c r="P67" s="369"/>
      <c r="Q67" s="369"/>
      <c r="R67" s="369"/>
      <c r="S67" s="369"/>
      <c r="T67" s="369"/>
      <c r="U67" s="369"/>
      <c r="V67" s="369"/>
      <c r="W67" s="369"/>
    </row>
    <row r="68" spans="1:23" x14ac:dyDescent="0.25">
      <c r="A68" s="369"/>
      <c r="B68" s="369"/>
      <c r="C68" s="369"/>
      <c r="D68" s="369"/>
      <c r="E68" s="369"/>
      <c r="F68" s="369"/>
      <c r="G68" s="369"/>
      <c r="H68" s="369"/>
      <c r="I68" s="369"/>
      <c r="J68" s="369"/>
      <c r="K68" s="369"/>
      <c r="L68" s="369"/>
      <c r="M68" s="369"/>
      <c r="N68" s="369"/>
      <c r="O68" s="369"/>
      <c r="P68" s="369"/>
      <c r="Q68" s="369"/>
      <c r="R68" s="369"/>
      <c r="S68" s="369"/>
      <c r="T68" s="369"/>
      <c r="U68" s="369"/>
      <c r="V68" s="369"/>
      <c r="W68" s="369"/>
    </row>
    <row r="69" spans="1:23" x14ac:dyDescent="0.25">
      <c r="A69" s="369"/>
      <c r="B69" s="369"/>
      <c r="C69" s="369"/>
      <c r="D69" s="369"/>
      <c r="E69" s="369"/>
      <c r="F69" s="369"/>
      <c r="G69" s="369"/>
      <c r="H69" s="369"/>
      <c r="I69" s="369"/>
      <c r="J69" s="369"/>
      <c r="K69" s="369"/>
      <c r="L69" s="369"/>
      <c r="M69" s="369"/>
      <c r="N69" s="369"/>
      <c r="O69" s="369"/>
      <c r="P69" s="369"/>
      <c r="Q69" s="369"/>
      <c r="R69" s="369"/>
      <c r="S69" s="369"/>
      <c r="T69" s="369"/>
      <c r="U69" s="369"/>
      <c r="V69" s="369"/>
      <c r="W69" s="369"/>
    </row>
    <row r="189" spans="2:44" x14ac:dyDescent="0.25">
      <c r="B189" s="245"/>
      <c r="C189" s="245"/>
      <c r="D189" s="245"/>
      <c r="E189" s="245"/>
      <c r="F189" s="245"/>
      <c r="G189" s="245"/>
      <c r="H189" s="245"/>
      <c r="I189" s="245"/>
      <c r="J189" s="245"/>
      <c r="K189" s="245"/>
      <c r="L189" s="245"/>
      <c r="N189" s="310"/>
      <c r="O189" s="310"/>
      <c r="P189" s="310"/>
      <c r="Q189" s="310"/>
      <c r="R189" s="310"/>
      <c r="S189" s="310"/>
      <c r="AH189" s="310"/>
      <c r="AI189" s="310"/>
      <c r="AJ189" s="310"/>
      <c r="AK189" s="310"/>
      <c r="AL189" s="310"/>
      <c r="AM189" s="310"/>
      <c r="AN189" s="310"/>
      <c r="AO189" s="310"/>
      <c r="AP189" s="310"/>
      <c r="AQ189" s="310"/>
      <c r="AR189" s="310"/>
    </row>
    <row r="190" spans="2:44" x14ac:dyDescent="0.25">
      <c r="N190" s="310"/>
      <c r="O190" s="310"/>
      <c r="P190" s="310"/>
      <c r="Q190" s="310"/>
      <c r="R190" s="310"/>
      <c r="S190" s="310"/>
      <c r="AH190" s="310"/>
      <c r="AI190" s="310"/>
      <c r="AJ190" s="310"/>
      <c r="AK190" s="310"/>
      <c r="AL190" s="310"/>
      <c r="AM190" s="310"/>
      <c r="AN190" s="310"/>
      <c r="AO190" s="310"/>
      <c r="AP190" s="310"/>
      <c r="AQ190" s="310"/>
      <c r="AR190" s="310"/>
    </row>
    <row r="191" spans="2:44" x14ac:dyDescent="0.25">
      <c r="N191" s="310"/>
      <c r="O191" s="310"/>
      <c r="P191" s="310"/>
      <c r="Q191" s="310"/>
      <c r="R191" s="310"/>
      <c r="S191" s="310"/>
      <c r="AH191" s="310"/>
      <c r="AI191" s="310"/>
      <c r="AJ191" s="310"/>
      <c r="AK191" s="310"/>
      <c r="AL191" s="310"/>
      <c r="AM191" s="310"/>
      <c r="AN191" s="310"/>
      <c r="AO191" s="310"/>
      <c r="AP191" s="310"/>
      <c r="AQ191" s="310"/>
      <c r="AR191" s="310"/>
    </row>
  </sheetData>
  <sheetProtection sheet="1" objects="1" scenarios="1"/>
  <customSheetViews>
    <customSheetView guid="{F50C5479-5CC4-4FD7-8319-543D29E829F0}" showGridLines="0" hiddenColumns="1">
      <pane xSplit="1" ySplit="3" topLeftCell="B4" activePane="bottomRight" state="frozen"/>
      <selection pane="bottomRight" activeCell="A6" sqref="A6"/>
      <pageMargins left="0" right="0" top="0.19685039370078741" bottom="0.19685039370078741" header="0.51181102362204722" footer="0.51181102362204722"/>
      <printOptions horizontalCentered="1"/>
      <pageSetup paperSize="9" scale="80" orientation="landscape" r:id="rId1"/>
      <headerFooter alignWithMargins="0"/>
    </customSheetView>
  </customSheetViews>
  <mergeCells count="3">
    <mergeCell ref="N2:P2"/>
    <mergeCell ref="B2:M2"/>
    <mergeCell ref="A58:P58"/>
  </mergeCells>
  <phoneticPr fontId="2" type="noConversion"/>
  <printOptions horizontalCentered="1"/>
  <pageMargins left="0" right="0" top="0.19685039370078741" bottom="0.19685039370078741" header="0.51181102362204722" footer="0.51181102362204722"/>
  <pageSetup paperSize="9" scale="70" orientation="landscape"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indexed="42"/>
    <pageSetUpPr fitToPage="1"/>
  </sheetPr>
  <dimension ref="A1:O42"/>
  <sheetViews>
    <sheetView showGridLines="0" zoomScaleNormal="100" workbookViewId="0">
      <pane xSplit="1" ySplit="3" topLeftCell="B4" activePane="bottomRight" state="frozen"/>
      <selection pane="topRight"/>
      <selection pane="bottomLeft"/>
      <selection pane="bottomRight" activeCell="J11" sqref="J11 J19"/>
    </sheetView>
  </sheetViews>
  <sheetFormatPr defaultRowHeight="12.75" x14ac:dyDescent="0.25"/>
  <cols>
    <col min="1" max="1" width="30.7109375" style="149" customWidth="1"/>
    <col min="2" max="2" width="4.42578125" style="149" customWidth="1"/>
    <col min="3" max="11" width="9.28515625" style="149" customWidth="1"/>
    <col min="12" max="12" width="8.7109375" style="149" customWidth="1"/>
    <col min="13" max="15" width="7.7109375" style="149" customWidth="1"/>
    <col min="16" max="16384" width="9.140625" style="149"/>
  </cols>
  <sheetData>
    <row r="1" spans="1:11" ht="13.5" customHeight="1" x14ac:dyDescent="0.25">
      <c r="A1" s="147" t="str">
        <f>muni&amp;" - "&amp; TableA31</f>
        <v>MP315 Thembisile Hani - NOT REQUIRED - municipality does not have entities</v>
      </c>
      <c r="B1" s="147"/>
      <c r="C1" s="147"/>
      <c r="D1" s="147"/>
      <c r="E1" s="147"/>
      <c r="F1" s="147"/>
      <c r="G1" s="147"/>
      <c r="H1" s="147"/>
      <c r="I1" s="147"/>
      <c r="J1" s="147"/>
      <c r="K1" s="147"/>
    </row>
    <row r="2" spans="1:11" ht="28.5" customHeight="1" x14ac:dyDescent="0.25">
      <c r="A2" s="997" t="str">
        <f>desc</f>
        <v>Description</v>
      </c>
      <c r="B2" s="2844" t="str">
        <f>head27</f>
        <v>Ref</v>
      </c>
      <c r="C2" s="891" t="str">
        <f>head1b</f>
        <v>2011/12</v>
      </c>
      <c r="D2" s="751" t="str">
        <f>head1A</f>
        <v>2012/13</v>
      </c>
      <c r="E2" s="146" t="str">
        <f>Head1</f>
        <v>2013/14</v>
      </c>
      <c r="F2" s="2766" t="str">
        <f>Head2</f>
        <v>Current Year 2014/15</v>
      </c>
      <c r="G2" s="2767"/>
      <c r="H2" s="2771"/>
      <c r="I2" s="2763" t="str">
        <f>Head3</f>
        <v>2015/16 Medium Term Revenue &amp; Expenditure Framework</v>
      </c>
      <c r="J2" s="2764"/>
      <c r="K2" s="2765"/>
    </row>
    <row r="3" spans="1:11" ht="25.5" x14ac:dyDescent="0.25">
      <c r="A3" s="180" t="s">
        <v>661</v>
      </c>
      <c r="B3" s="2845"/>
      <c r="C3" s="983" t="str">
        <f>Head5</f>
        <v>Audited Outcome</v>
      </c>
      <c r="D3" s="994"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1" ht="12.75" customHeight="1" x14ac:dyDescent="0.25">
      <c r="A4" s="914" t="s">
        <v>1357</v>
      </c>
      <c r="B4" s="249"/>
      <c r="C4" s="893"/>
      <c r="D4" s="163"/>
      <c r="E4" s="164"/>
      <c r="F4" s="162"/>
      <c r="G4" s="163"/>
      <c r="H4" s="610"/>
      <c r="I4" s="893"/>
      <c r="J4" s="163"/>
      <c r="K4" s="164"/>
    </row>
    <row r="5" spans="1:11" x14ac:dyDescent="0.25">
      <c r="A5" s="895" t="str">
        <f>'A1-Sum'!A5</f>
        <v>Property rates</v>
      </c>
      <c r="B5" s="250"/>
      <c r="C5" s="1960">
        <v>0</v>
      </c>
      <c r="D5" s="1855">
        <v>0</v>
      </c>
      <c r="E5" s="1856">
        <v>0</v>
      </c>
      <c r="F5" s="1857">
        <v>0</v>
      </c>
      <c r="G5" s="1855">
        <v>0</v>
      </c>
      <c r="H5" s="1859">
        <v>0</v>
      </c>
      <c r="I5" s="1960">
        <v>0</v>
      </c>
      <c r="J5" s="1855">
        <v>0</v>
      </c>
      <c r="K5" s="1856">
        <v>0</v>
      </c>
    </row>
    <row r="6" spans="1:11" x14ac:dyDescent="0.25">
      <c r="A6" s="895" t="str">
        <f>'A1-Sum'!A6</f>
        <v>Service charges</v>
      </c>
      <c r="B6" s="250"/>
      <c r="C6" s="1960">
        <v>0</v>
      </c>
      <c r="D6" s="1855">
        <v>0</v>
      </c>
      <c r="E6" s="1856">
        <v>0</v>
      </c>
      <c r="F6" s="1857">
        <v>0</v>
      </c>
      <c r="G6" s="1855">
        <v>0</v>
      </c>
      <c r="H6" s="1859">
        <v>0</v>
      </c>
      <c r="I6" s="1960">
        <v>0</v>
      </c>
      <c r="J6" s="1855">
        <v>0</v>
      </c>
      <c r="K6" s="1856">
        <v>0</v>
      </c>
    </row>
    <row r="7" spans="1:11" x14ac:dyDescent="0.25">
      <c r="A7" s="895" t="str">
        <f>'A1-Sum'!A7</f>
        <v>Investment revenue</v>
      </c>
      <c r="B7" s="250"/>
      <c r="C7" s="1960">
        <v>0</v>
      </c>
      <c r="D7" s="1855">
        <v>0</v>
      </c>
      <c r="E7" s="1856">
        <v>0</v>
      </c>
      <c r="F7" s="1857">
        <v>0</v>
      </c>
      <c r="G7" s="1855">
        <v>0</v>
      </c>
      <c r="H7" s="1859">
        <v>0</v>
      </c>
      <c r="I7" s="1960">
        <v>0</v>
      </c>
      <c r="J7" s="1855">
        <v>0</v>
      </c>
      <c r="K7" s="1856">
        <v>0</v>
      </c>
    </row>
    <row r="8" spans="1:11" x14ac:dyDescent="0.25">
      <c r="A8" s="895" t="str">
        <f>'A1-Sum'!A8</f>
        <v>Transfers recognised - operational</v>
      </c>
      <c r="B8" s="250"/>
      <c r="C8" s="1960">
        <v>0</v>
      </c>
      <c r="D8" s="1855">
        <v>0</v>
      </c>
      <c r="E8" s="1856">
        <v>0</v>
      </c>
      <c r="F8" s="1857">
        <v>0</v>
      </c>
      <c r="G8" s="1855">
        <v>0</v>
      </c>
      <c r="H8" s="1859">
        <v>0</v>
      </c>
      <c r="I8" s="1960">
        <v>0</v>
      </c>
      <c r="J8" s="1855">
        <v>0</v>
      </c>
      <c r="K8" s="1856">
        <v>0</v>
      </c>
    </row>
    <row r="9" spans="1:11" x14ac:dyDescent="0.25">
      <c r="A9" s="895" t="str">
        <f>'A1-Sum'!A9</f>
        <v>Other own revenue</v>
      </c>
      <c r="B9" s="250"/>
      <c r="C9" s="1960">
        <v>0</v>
      </c>
      <c r="D9" s="1855">
        <v>0</v>
      </c>
      <c r="E9" s="1856">
        <v>0</v>
      </c>
      <c r="F9" s="1857">
        <v>0</v>
      </c>
      <c r="G9" s="1855">
        <v>0</v>
      </c>
      <c r="H9" s="1859">
        <v>0</v>
      </c>
      <c r="I9" s="1960">
        <v>0</v>
      </c>
      <c r="J9" s="1855">
        <v>0</v>
      </c>
      <c r="K9" s="1856">
        <v>0</v>
      </c>
    </row>
    <row r="10" spans="1:11" x14ac:dyDescent="0.25">
      <c r="A10" s="895" t="str">
        <f>'A1-Sum'!A21</f>
        <v>Contributions recognised - capital &amp; contributed assets</v>
      </c>
      <c r="B10" s="250"/>
      <c r="C10" s="1960">
        <v>0</v>
      </c>
      <c r="D10" s="1855">
        <v>0</v>
      </c>
      <c r="E10" s="1856">
        <v>0</v>
      </c>
      <c r="F10" s="1857">
        <v>0</v>
      </c>
      <c r="G10" s="1855">
        <v>0</v>
      </c>
      <c r="H10" s="1859">
        <v>0</v>
      </c>
      <c r="I10" s="1960">
        <v>0</v>
      </c>
      <c r="J10" s="1855">
        <v>0</v>
      </c>
      <c r="K10" s="1856">
        <v>0</v>
      </c>
    </row>
    <row r="11" spans="1:11" x14ac:dyDescent="0.25">
      <c r="A11" s="896" t="str">
        <f>'A4-FinPerf RE'!A22</f>
        <v>Total Revenue (excluding capital transfers and contributions)</v>
      </c>
      <c r="B11" s="265"/>
      <c r="C11" s="897">
        <f>SUM(C5:C10)</f>
        <v>0</v>
      </c>
      <c r="D11" s="608">
        <f>SUM(D5:D10)</f>
        <v>0</v>
      </c>
      <c r="E11" s="609">
        <f t="shared" ref="E11:K11" si="0">SUM(E5:E10)</f>
        <v>0</v>
      </c>
      <c r="F11" s="898">
        <f t="shared" si="0"/>
        <v>0</v>
      </c>
      <c r="G11" s="608">
        <f t="shared" si="0"/>
        <v>0</v>
      </c>
      <c r="H11" s="899">
        <f t="shared" si="0"/>
        <v>0</v>
      </c>
      <c r="I11" s="897">
        <f t="shared" si="0"/>
        <v>0</v>
      </c>
      <c r="J11" s="608">
        <f t="shared" si="0"/>
        <v>0</v>
      </c>
      <c r="K11" s="609">
        <f t="shared" si="0"/>
        <v>0</v>
      </c>
    </row>
    <row r="12" spans="1:11" x14ac:dyDescent="0.25">
      <c r="A12" s="895" t="str">
        <f>'A1-Sum'!A11</f>
        <v>Employee costs</v>
      </c>
      <c r="B12" s="250"/>
      <c r="C12" s="1960">
        <v>0</v>
      </c>
      <c r="D12" s="1855">
        <v>0</v>
      </c>
      <c r="E12" s="1856">
        <v>0</v>
      </c>
      <c r="F12" s="1857">
        <v>0</v>
      </c>
      <c r="G12" s="1855">
        <v>0</v>
      </c>
      <c r="H12" s="1859">
        <v>0</v>
      </c>
      <c r="I12" s="1960">
        <v>0</v>
      </c>
      <c r="J12" s="1855">
        <v>0</v>
      </c>
      <c r="K12" s="1856">
        <v>0</v>
      </c>
    </row>
    <row r="13" spans="1:11" x14ac:dyDescent="0.25">
      <c r="A13" s="895" t="s">
        <v>947</v>
      </c>
      <c r="B13" s="250"/>
      <c r="C13" s="1960">
        <v>0</v>
      </c>
      <c r="D13" s="1855">
        <v>0</v>
      </c>
      <c r="E13" s="1856">
        <v>0</v>
      </c>
      <c r="F13" s="1857">
        <v>0</v>
      </c>
      <c r="G13" s="1855">
        <v>0</v>
      </c>
      <c r="H13" s="1859">
        <v>0</v>
      </c>
      <c r="I13" s="1960">
        <v>0</v>
      </c>
      <c r="J13" s="1855">
        <v>0</v>
      </c>
      <c r="K13" s="1856">
        <v>0</v>
      </c>
    </row>
    <row r="14" spans="1:11" x14ac:dyDescent="0.25">
      <c r="A14" s="895" t="str">
        <f>'A1-Sum'!A13</f>
        <v>Depreciation &amp; asset impairment</v>
      </c>
      <c r="B14" s="250"/>
      <c r="C14" s="1960">
        <v>0</v>
      </c>
      <c r="D14" s="1855">
        <v>0</v>
      </c>
      <c r="E14" s="1856">
        <v>0</v>
      </c>
      <c r="F14" s="1857">
        <v>0</v>
      </c>
      <c r="G14" s="1855">
        <v>0</v>
      </c>
      <c r="H14" s="1859">
        <v>0</v>
      </c>
      <c r="I14" s="1960">
        <v>0</v>
      </c>
      <c r="J14" s="1855">
        <v>0</v>
      </c>
      <c r="K14" s="1856">
        <v>0</v>
      </c>
    </row>
    <row r="15" spans="1:11" x14ac:dyDescent="0.25">
      <c r="A15" s="895" t="str">
        <f>'A1-Sum'!A14</f>
        <v>Finance charges</v>
      </c>
      <c r="B15" s="250"/>
      <c r="C15" s="1960">
        <v>0</v>
      </c>
      <c r="D15" s="1855">
        <v>0</v>
      </c>
      <c r="E15" s="1856">
        <v>0</v>
      </c>
      <c r="F15" s="1857">
        <v>0</v>
      </c>
      <c r="G15" s="1855">
        <v>0</v>
      </c>
      <c r="H15" s="1859">
        <v>0</v>
      </c>
      <c r="I15" s="1960">
        <v>0</v>
      </c>
      <c r="J15" s="1855">
        <v>0</v>
      </c>
      <c r="K15" s="1856">
        <v>0</v>
      </c>
    </row>
    <row r="16" spans="1:11" x14ac:dyDescent="0.25">
      <c r="A16" s="895" t="str">
        <f>'A1-Sum'!A15</f>
        <v>Materials and bulk purchases</v>
      </c>
      <c r="B16" s="250"/>
      <c r="C16" s="1960">
        <v>0</v>
      </c>
      <c r="D16" s="1855">
        <v>0</v>
      </c>
      <c r="E16" s="1856">
        <v>0</v>
      </c>
      <c r="F16" s="1857">
        <v>0</v>
      </c>
      <c r="G16" s="1855">
        <v>0</v>
      </c>
      <c r="H16" s="1859">
        <v>0</v>
      </c>
      <c r="I16" s="1960">
        <v>0</v>
      </c>
      <c r="J16" s="1855">
        <v>0</v>
      </c>
      <c r="K16" s="1856">
        <v>0</v>
      </c>
    </row>
    <row r="17" spans="1:12" x14ac:dyDescent="0.25">
      <c r="A17" s="895" t="str">
        <f>'A1-Sum'!A16</f>
        <v>Transfers and grants</v>
      </c>
      <c r="B17" s="250"/>
      <c r="C17" s="1960">
        <v>0</v>
      </c>
      <c r="D17" s="1855">
        <v>0</v>
      </c>
      <c r="E17" s="1856">
        <v>0</v>
      </c>
      <c r="F17" s="1857">
        <v>0</v>
      </c>
      <c r="G17" s="1855">
        <v>0</v>
      </c>
      <c r="H17" s="1859">
        <v>0</v>
      </c>
      <c r="I17" s="1960">
        <v>0</v>
      </c>
      <c r="J17" s="1855">
        <v>0</v>
      </c>
      <c r="K17" s="1856">
        <v>0</v>
      </c>
    </row>
    <row r="18" spans="1:12" x14ac:dyDescent="0.25">
      <c r="A18" s="895" t="str">
        <f>'A1-Sum'!A17</f>
        <v>Other expenditure</v>
      </c>
      <c r="B18" s="250"/>
      <c r="C18" s="1960">
        <v>0</v>
      </c>
      <c r="D18" s="1855">
        <v>0</v>
      </c>
      <c r="E18" s="1856">
        <v>0</v>
      </c>
      <c r="F18" s="1857">
        <v>0</v>
      </c>
      <c r="G18" s="1855">
        <v>0</v>
      </c>
      <c r="H18" s="1859">
        <v>0</v>
      </c>
      <c r="I18" s="1960">
        <v>0</v>
      </c>
      <c r="J18" s="1855">
        <v>0</v>
      </c>
      <c r="K18" s="1856">
        <v>0</v>
      </c>
    </row>
    <row r="19" spans="1:12" x14ac:dyDescent="0.25">
      <c r="A19" s="896" t="str">
        <f>'A4-FinPerf RE'!A36</f>
        <v>Total Expenditure</v>
      </c>
      <c r="B19" s="265"/>
      <c r="C19" s="900">
        <f>SUM(C12:C18)</f>
        <v>0</v>
      </c>
      <c r="D19" s="901">
        <f t="shared" ref="D19:K19" si="1">SUM(D12:D18)</f>
        <v>0</v>
      </c>
      <c r="E19" s="902">
        <f t="shared" si="1"/>
        <v>0</v>
      </c>
      <c r="F19" s="903">
        <f t="shared" si="1"/>
        <v>0</v>
      </c>
      <c r="G19" s="901">
        <f t="shared" si="1"/>
        <v>0</v>
      </c>
      <c r="H19" s="904">
        <f t="shared" si="1"/>
        <v>0</v>
      </c>
      <c r="I19" s="900">
        <f t="shared" si="1"/>
        <v>0</v>
      </c>
      <c r="J19" s="901">
        <f t="shared" si="1"/>
        <v>0</v>
      </c>
      <c r="K19" s="902">
        <f t="shared" si="1"/>
        <v>0</v>
      </c>
    </row>
    <row r="20" spans="1:12" x14ac:dyDescent="0.25">
      <c r="A20" s="896" t="str">
        <f>'A4-FinPerf RE'!A38</f>
        <v>Surplus/(Deficit)</v>
      </c>
      <c r="B20" s="265"/>
      <c r="C20" s="905">
        <f>C11-C19</f>
        <v>0</v>
      </c>
      <c r="D20" s="611">
        <f t="shared" ref="D20:K20" si="2">D11-D19</f>
        <v>0</v>
      </c>
      <c r="E20" s="612">
        <f t="shared" si="2"/>
        <v>0</v>
      </c>
      <c r="F20" s="906">
        <f t="shared" si="2"/>
        <v>0</v>
      </c>
      <c r="G20" s="611">
        <f t="shared" si="2"/>
        <v>0</v>
      </c>
      <c r="H20" s="907">
        <f t="shared" si="2"/>
        <v>0</v>
      </c>
      <c r="I20" s="905">
        <f t="shared" si="2"/>
        <v>0</v>
      </c>
      <c r="J20" s="611">
        <f t="shared" si="2"/>
        <v>0</v>
      </c>
      <c r="K20" s="612">
        <f t="shared" si="2"/>
        <v>0</v>
      </c>
    </row>
    <row r="21" spans="1:12" ht="6" customHeight="1" x14ac:dyDescent="0.25">
      <c r="A21" s="908"/>
      <c r="B21" s="380"/>
      <c r="C21" s="909"/>
      <c r="D21" s="910"/>
      <c r="E21" s="911"/>
      <c r="F21" s="912"/>
      <c r="G21" s="910"/>
      <c r="H21" s="913"/>
      <c r="I21" s="909"/>
      <c r="J21" s="910"/>
      <c r="K21" s="911"/>
    </row>
    <row r="22" spans="1:12" ht="12.75" customHeight="1" x14ac:dyDescent="0.25">
      <c r="A22" s="914" t="s">
        <v>1060</v>
      </c>
      <c r="B22" s="249"/>
      <c r="C22" s="893"/>
      <c r="D22" s="163"/>
      <c r="E22" s="164"/>
      <c r="F22" s="162"/>
      <c r="G22" s="163"/>
      <c r="H22" s="610"/>
      <c r="I22" s="893"/>
      <c r="J22" s="163"/>
      <c r="K22" s="164"/>
    </row>
    <row r="23" spans="1:12" x14ac:dyDescent="0.25">
      <c r="A23" s="915" t="s">
        <v>1497</v>
      </c>
      <c r="B23" s="373"/>
      <c r="C23" s="1961">
        <v>0</v>
      </c>
      <c r="D23" s="1962">
        <v>0</v>
      </c>
      <c r="E23" s="1963">
        <v>0</v>
      </c>
      <c r="F23" s="1964">
        <v>0</v>
      </c>
      <c r="G23" s="1962">
        <v>0</v>
      </c>
      <c r="H23" s="1965">
        <v>0</v>
      </c>
      <c r="I23" s="1961">
        <v>0</v>
      </c>
      <c r="J23" s="1962">
        <v>0</v>
      </c>
      <c r="K23" s="1963">
        <v>0</v>
      </c>
      <c r="L23" s="246"/>
    </row>
    <row r="24" spans="1:12" x14ac:dyDescent="0.25">
      <c r="A24" s="895" t="str">
        <f>A8</f>
        <v>Transfers recognised - operational</v>
      </c>
      <c r="B24" s="250"/>
      <c r="C24" s="1960">
        <v>0</v>
      </c>
      <c r="D24" s="1855">
        <v>0</v>
      </c>
      <c r="E24" s="1856">
        <v>0</v>
      </c>
      <c r="F24" s="1857">
        <v>0</v>
      </c>
      <c r="G24" s="1855">
        <v>0</v>
      </c>
      <c r="H24" s="1859">
        <v>0</v>
      </c>
      <c r="I24" s="1960">
        <v>0</v>
      </c>
      <c r="J24" s="1855">
        <v>0</v>
      </c>
      <c r="K24" s="1856">
        <v>0</v>
      </c>
      <c r="L24" s="916"/>
    </row>
    <row r="25" spans="1:12" x14ac:dyDescent="0.25">
      <c r="A25" s="895" t="str">
        <f>'A5-Capex'!A71</f>
        <v>Public contributions &amp; donations</v>
      </c>
      <c r="B25" s="250"/>
      <c r="C25" s="1960">
        <v>0</v>
      </c>
      <c r="D25" s="1855">
        <v>0</v>
      </c>
      <c r="E25" s="1856">
        <v>0</v>
      </c>
      <c r="F25" s="1857">
        <v>0</v>
      </c>
      <c r="G25" s="1855">
        <v>0</v>
      </c>
      <c r="H25" s="1859">
        <v>0</v>
      </c>
      <c r="I25" s="1960">
        <v>0</v>
      </c>
      <c r="J25" s="1855">
        <v>0</v>
      </c>
      <c r="K25" s="1856">
        <v>0</v>
      </c>
      <c r="L25" s="916"/>
    </row>
    <row r="26" spans="1:12" x14ac:dyDescent="0.25">
      <c r="A26" s="895" t="str">
        <f>'A5-Capex'!A72</f>
        <v>Borrowing</v>
      </c>
      <c r="B26" s="250"/>
      <c r="C26" s="1960">
        <v>0</v>
      </c>
      <c r="D26" s="1855">
        <v>0</v>
      </c>
      <c r="E26" s="1856">
        <v>0</v>
      </c>
      <c r="F26" s="1857">
        <v>0</v>
      </c>
      <c r="G26" s="1855">
        <v>0</v>
      </c>
      <c r="H26" s="1859">
        <v>0</v>
      </c>
      <c r="I26" s="1960">
        <v>0</v>
      </c>
      <c r="J26" s="1855">
        <v>0</v>
      </c>
      <c r="K26" s="1856">
        <v>0</v>
      </c>
      <c r="L26" s="916"/>
    </row>
    <row r="27" spans="1:12" x14ac:dyDescent="0.25">
      <c r="A27" s="895" t="str">
        <f>'A5-Capex'!A73</f>
        <v>Internally generated funds</v>
      </c>
      <c r="B27" s="250"/>
      <c r="C27" s="1960">
        <v>0</v>
      </c>
      <c r="D27" s="1855">
        <v>0</v>
      </c>
      <c r="E27" s="1856">
        <v>0</v>
      </c>
      <c r="F27" s="1857">
        <v>0</v>
      </c>
      <c r="G27" s="1855">
        <v>0</v>
      </c>
      <c r="H27" s="1859">
        <v>0</v>
      </c>
      <c r="I27" s="1960">
        <v>0</v>
      </c>
      <c r="J27" s="1855">
        <v>0</v>
      </c>
      <c r="K27" s="1856">
        <v>0</v>
      </c>
      <c r="L27" s="916"/>
    </row>
    <row r="28" spans="1:12" x14ac:dyDescent="0.25">
      <c r="A28" s="173" t="s">
        <v>924</v>
      </c>
      <c r="B28" s="863"/>
      <c r="C28" s="897">
        <f t="shared" ref="C28:K28" si="3">SUM(C24:C27)</f>
        <v>0</v>
      </c>
      <c r="D28" s="608">
        <f t="shared" si="3"/>
        <v>0</v>
      </c>
      <c r="E28" s="609">
        <f t="shared" si="3"/>
        <v>0</v>
      </c>
      <c r="F28" s="898">
        <f t="shared" si="3"/>
        <v>0</v>
      </c>
      <c r="G28" s="608">
        <f t="shared" si="3"/>
        <v>0</v>
      </c>
      <c r="H28" s="899">
        <f t="shared" si="3"/>
        <v>0</v>
      </c>
      <c r="I28" s="897">
        <f t="shared" si="3"/>
        <v>0</v>
      </c>
      <c r="J28" s="608">
        <f t="shared" si="3"/>
        <v>0</v>
      </c>
      <c r="K28" s="609">
        <f t="shared" si="3"/>
        <v>0</v>
      </c>
    </row>
    <row r="29" spans="1:12" ht="6" customHeight="1" x14ac:dyDescent="0.25">
      <c r="A29" s="896"/>
      <c r="B29" s="265"/>
      <c r="C29" s="905"/>
      <c r="D29" s="611"/>
      <c r="E29" s="612"/>
      <c r="F29" s="906"/>
      <c r="G29" s="611"/>
      <c r="H29" s="907"/>
      <c r="I29" s="905"/>
      <c r="J29" s="611"/>
      <c r="K29" s="612"/>
    </row>
    <row r="30" spans="1:12" ht="12.75" customHeight="1" x14ac:dyDescent="0.25">
      <c r="A30" s="892" t="s">
        <v>202</v>
      </c>
      <c r="B30" s="856"/>
      <c r="C30" s="894"/>
      <c r="D30" s="917"/>
      <c r="E30" s="918"/>
      <c r="F30" s="919"/>
      <c r="G30" s="917"/>
      <c r="H30" s="920"/>
      <c r="I30" s="894"/>
      <c r="J30" s="917"/>
      <c r="K30" s="918"/>
    </row>
    <row r="31" spans="1:12" x14ac:dyDescent="0.25">
      <c r="A31" s="895" t="str">
        <f>'A6-FinPos'!A12</f>
        <v>Total current assets</v>
      </c>
      <c r="B31" s="250"/>
      <c r="C31" s="1960">
        <v>0</v>
      </c>
      <c r="D31" s="1855">
        <v>0</v>
      </c>
      <c r="E31" s="1856">
        <v>0</v>
      </c>
      <c r="F31" s="1857">
        <v>0</v>
      </c>
      <c r="G31" s="1855">
        <v>0</v>
      </c>
      <c r="H31" s="1859">
        <v>0</v>
      </c>
      <c r="I31" s="1960">
        <v>0</v>
      </c>
      <c r="J31" s="1855">
        <v>0</v>
      </c>
      <c r="K31" s="1856">
        <v>0</v>
      </c>
    </row>
    <row r="32" spans="1:12" x14ac:dyDescent="0.25">
      <c r="A32" s="895" t="str">
        <f>'A6-FinPos'!A24</f>
        <v>Total non current assets</v>
      </c>
      <c r="B32" s="250"/>
      <c r="C32" s="1960">
        <v>0</v>
      </c>
      <c r="D32" s="1855">
        <v>0</v>
      </c>
      <c r="E32" s="1856">
        <v>0</v>
      </c>
      <c r="F32" s="1857">
        <v>0</v>
      </c>
      <c r="G32" s="1855">
        <v>0</v>
      </c>
      <c r="H32" s="1859">
        <v>0</v>
      </c>
      <c r="I32" s="1960">
        <v>0</v>
      </c>
      <c r="J32" s="1855">
        <v>0</v>
      </c>
      <c r="K32" s="1856">
        <v>0</v>
      </c>
    </row>
    <row r="33" spans="1:15" x14ac:dyDescent="0.25">
      <c r="A33" s="895" t="str">
        <f>'A6-FinPos'!A34</f>
        <v>Total current liabilities</v>
      </c>
      <c r="B33" s="250"/>
      <c r="C33" s="1960">
        <v>0</v>
      </c>
      <c r="D33" s="1855">
        <v>0</v>
      </c>
      <c r="E33" s="1856">
        <v>0</v>
      </c>
      <c r="F33" s="1857">
        <v>0</v>
      </c>
      <c r="G33" s="1855">
        <v>0</v>
      </c>
      <c r="H33" s="1859">
        <v>0</v>
      </c>
      <c r="I33" s="1960">
        <v>0</v>
      </c>
      <c r="J33" s="1855">
        <v>0</v>
      </c>
      <c r="K33" s="1856">
        <v>0</v>
      </c>
    </row>
    <row r="34" spans="1:15" x14ac:dyDescent="0.25">
      <c r="A34" s="895" t="str">
        <f>'A6-FinPos'!A39</f>
        <v>Total non current liabilities</v>
      </c>
      <c r="B34" s="250"/>
      <c r="C34" s="1960">
        <v>0</v>
      </c>
      <c r="D34" s="1855">
        <v>0</v>
      </c>
      <c r="E34" s="1856">
        <v>0</v>
      </c>
      <c r="F34" s="1857">
        <v>0</v>
      </c>
      <c r="G34" s="1855">
        <v>0</v>
      </c>
      <c r="H34" s="1859">
        <v>0</v>
      </c>
      <c r="I34" s="1960">
        <v>0</v>
      </c>
      <c r="J34" s="1855">
        <v>0</v>
      </c>
      <c r="K34" s="1856">
        <v>0</v>
      </c>
    </row>
    <row r="35" spans="1:15" x14ac:dyDescent="0.25">
      <c r="A35" s="895" t="s">
        <v>611</v>
      </c>
      <c r="B35" s="250"/>
      <c r="C35" s="1960">
        <v>0</v>
      </c>
      <c r="D35" s="1855">
        <v>0</v>
      </c>
      <c r="E35" s="1856">
        <v>0</v>
      </c>
      <c r="F35" s="1857">
        <v>0</v>
      </c>
      <c r="G35" s="1855">
        <v>0</v>
      </c>
      <c r="H35" s="1859">
        <v>0</v>
      </c>
      <c r="I35" s="1960">
        <v>0</v>
      </c>
      <c r="J35" s="1855">
        <v>0</v>
      </c>
      <c r="K35" s="1856">
        <v>0</v>
      </c>
    </row>
    <row r="36" spans="1:15" ht="6" customHeight="1" x14ac:dyDescent="0.25">
      <c r="A36" s="908"/>
      <c r="B36" s="380"/>
      <c r="C36" s="909"/>
      <c r="D36" s="910"/>
      <c r="E36" s="911"/>
      <c r="F36" s="912"/>
      <c r="G36" s="910"/>
      <c r="H36" s="913"/>
      <c r="I36" s="909"/>
      <c r="J36" s="910"/>
      <c r="K36" s="911"/>
    </row>
    <row r="37" spans="1:15" ht="12.75" customHeight="1" x14ac:dyDescent="0.25">
      <c r="A37" s="914" t="s">
        <v>203</v>
      </c>
      <c r="B37" s="249"/>
      <c r="C37" s="893"/>
      <c r="D37" s="163"/>
      <c r="E37" s="164"/>
      <c r="F37" s="162"/>
      <c r="G37" s="163"/>
      <c r="H37" s="610"/>
      <c r="I37" s="893"/>
      <c r="J37" s="163"/>
      <c r="K37" s="164"/>
      <c r="O37" s="369"/>
    </row>
    <row r="38" spans="1:15" x14ac:dyDescent="0.25">
      <c r="A38" s="895" t="str">
        <f>'A1-Sum'!A42</f>
        <v>Net cash from (used) operating</v>
      </c>
      <c r="B38" s="250"/>
      <c r="C38" s="1960">
        <v>0</v>
      </c>
      <c r="D38" s="1855">
        <v>0</v>
      </c>
      <c r="E38" s="1856">
        <v>0</v>
      </c>
      <c r="F38" s="1857">
        <v>0</v>
      </c>
      <c r="G38" s="1855">
        <v>0</v>
      </c>
      <c r="H38" s="1859">
        <v>0</v>
      </c>
      <c r="I38" s="1960">
        <v>0</v>
      </c>
      <c r="J38" s="1855">
        <v>0</v>
      </c>
      <c r="K38" s="1856">
        <v>0</v>
      </c>
    </row>
    <row r="39" spans="1:15" x14ac:dyDescent="0.25">
      <c r="A39" s="895" t="str">
        <f>'A1-Sum'!A43</f>
        <v>Net cash from (used) investing</v>
      </c>
      <c r="B39" s="250"/>
      <c r="C39" s="1960">
        <v>0</v>
      </c>
      <c r="D39" s="1855">
        <v>0</v>
      </c>
      <c r="E39" s="1856">
        <v>0</v>
      </c>
      <c r="F39" s="1857">
        <v>0</v>
      </c>
      <c r="G39" s="1855">
        <v>0</v>
      </c>
      <c r="H39" s="1859">
        <v>0</v>
      </c>
      <c r="I39" s="1960">
        <v>0</v>
      </c>
      <c r="J39" s="1855">
        <v>0</v>
      </c>
      <c r="K39" s="1856">
        <v>0</v>
      </c>
    </row>
    <row r="40" spans="1:15" x14ac:dyDescent="0.25">
      <c r="A40" s="895" t="str">
        <f>'A1-Sum'!A44</f>
        <v>Net cash from (used) financing</v>
      </c>
      <c r="B40" s="250"/>
      <c r="C40" s="1960">
        <v>0</v>
      </c>
      <c r="D40" s="1855">
        <v>0</v>
      </c>
      <c r="E40" s="1856">
        <v>0</v>
      </c>
      <c r="F40" s="1857">
        <v>0</v>
      </c>
      <c r="G40" s="1855">
        <v>0</v>
      </c>
      <c r="H40" s="1859">
        <v>0</v>
      </c>
      <c r="I40" s="1960">
        <v>0</v>
      </c>
      <c r="J40" s="1855">
        <v>0</v>
      </c>
      <c r="K40" s="1856">
        <v>0</v>
      </c>
    </row>
    <row r="41" spans="1:15" x14ac:dyDescent="0.25">
      <c r="A41" s="896" t="str">
        <f>'A1-Sum'!A45</f>
        <v>Cash/cash equivalents at the year end</v>
      </c>
      <c r="B41" s="265"/>
      <c r="C41" s="1960">
        <v>0</v>
      </c>
      <c r="D41" s="1855">
        <v>0</v>
      </c>
      <c r="E41" s="1856">
        <v>0</v>
      </c>
      <c r="F41" s="1857">
        <v>0</v>
      </c>
      <c r="G41" s="1855">
        <v>0</v>
      </c>
      <c r="H41" s="1859">
        <v>0</v>
      </c>
      <c r="I41" s="1960">
        <v>0</v>
      </c>
      <c r="J41" s="1855">
        <v>0</v>
      </c>
      <c r="K41" s="1856">
        <v>0</v>
      </c>
    </row>
    <row r="42" spans="1:15" ht="6" customHeight="1" x14ac:dyDescent="0.25">
      <c r="A42" s="921"/>
      <c r="B42" s="336"/>
      <c r="C42" s="909"/>
      <c r="D42" s="910"/>
      <c r="E42" s="911"/>
      <c r="F42" s="912"/>
      <c r="G42" s="910"/>
      <c r="H42" s="913"/>
      <c r="I42" s="909"/>
      <c r="J42" s="910"/>
      <c r="K42" s="911"/>
    </row>
  </sheetData>
  <sheetProtection sheet="1" objects="1" scenarios="1"/>
  <customSheetViews>
    <customSheetView guid="{F50C5479-5CC4-4FD7-8319-543D29E829F0}" showGridLines="0" fitToPage="1">
      <pane xSplit="1" ySplit="3" topLeftCell="B4" activePane="bottomRight" state="frozen"/>
      <selection pane="bottomRight"/>
      <pageMargins left="0" right="0" top="0.78740157480314965" bottom="0.59055118110236227" header="0.51181102362204722" footer="0.39370078740157483"/>
      <printOptions horizontalCentered="1"/>
      <pageSetup paperSize="9" scale="86" orientation="portrait" r:id="rId1"/>
      <headerFooter alignWithMargins="0"/>
    </customSheetView>
  </customSheetViews>
  <mergeCells count="3">
    <mergeCell ref="F2:H2"/>
    <mergeCell ref="I2:K2"/>
    <mergeCell ref="B2:B3"/>
  </mergeCells>
  <phoneticPr fontId="2" type="noConversion"/>
  <printOptions horizontalCentered="1"/>
  <pageMargins left="0" right="0" top="0.78740157480314965" bottom="0.59055118110236227" header="0.51181102362204722" footer="0.39370078740157483"/>
  <pageSetup paperSize="9" scale="86" orientation="portrait" r:id="rId2"/>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indexed="42"/>
  </sheetPr>
  <dimension ref="A1:L61"/>
  <sheetViews>
    <sheetView showGridLines="0" zoomScaleNormal="100" workbookViewId="0">
      <pane xSplit="1" ySplit="3" topLeftCell="B4" activePane="bottomRight" state="frozen"/>
      <selection pane="topRight"/>
      <selection pane="bottomLeft"/>
      <selection pane="bottomRight" activeCell="I25" sqref="I25"/>
    </sheetView>
  </sheetViews>
  <sheetFormatPr defaultRowHeight="12.75" x14ac:dyDescent="0.25"/>
  <cols>
    <col min="1" max="1" width="30.7109375" style="149" customWidth="1"/>
    <col min="2" max="2" width="4.140625" style="247" bestFit="1" customWidth="1"/>
    <col min="3" max="3" width="9.28515625" style="149" customWidth="1"/>
    <col min="4" max="4" width="30.7109375" style="149" customWidth="1"/>
    <col min="5" max="5" width="13" style="149" customWidth="1"/>
    <col min="6" max="6" width="9.28515625" style="149" customWidth="1"/>
    <col min="7" max="7" width="9.85546875" style="149" customWidth="1"/>
    <col min="8" max="8" width="9.85546875" style="149" bestFit="1" customWidth="1"/>
    <col min="9" max="10" width="9.85546875" style="149" customWidth="1"/>
    <col min="11" max="11" width="9.5703125" style="149" customWidth="1"/>
    <col min="12" max="12" width="9.85546875" style="149" customWidth="1"/>
    <col min="13" max="15" width="9.5703125" style="149" customWidth="1"/>
    <col min="16" max="16" width="9.85546875" style="149" customWidth="1"/>
    <col min="17" max="19" width="9.5703125" style="149" customWidth="1"/>
    <col min="20" max="21" width="9.85546875" style="149" customWidth="1"/>
    <col min="22" max="16384" width="9.140625" style="149"/>
  </cols>
  <sheetData>
    <row r="1" spans="1:6" ht="13.5" customHeight="1" x14ac:dyDescent="0.25">
      <c r="A1" s="147" t="str">
        <f>muni&amp;" - "&amp;TableA32</f>
        <v>MP315 Thembisile Hani - Supporting Table SA32 List of external mechanisms</v>
      </c>
      <c r="B1" s="147"/>
      <c r="C1" s="147"/>
      <c r="D1" s="147"/>
      <c r="E1" s="147"/>
      <c r="F1" s="147"/>
    </row>
    <row r="2" spans="1:6" ht="33.75" customHeight="1" x14ac:dyDescent="0.25">
      <c r="A2" s="142" t="s">
        <v>326</v>
      </c>
      <c r="B2" s="2820" t="s">
        <v>1673</v>
      </c>
      <c r="C2" s="631" t="s">
        <v>329</v>
      </c>
      <c r="D2" s="2820" t="s">
        <v>330</v>
      </c>
      <c r="E2" s="2820" t="s">
        <v>328</v>
      </c>
      <c r="F2" s="922" t="s">
        <v>331</v>
      </c>
    </row>
    <row r="3" spans="1:6" ht="24.75" customHeight="1" x14ac:dyDescent="0.25">
      <c r="A3" s="141" t="s">
        <v>327</v>
      </c>
      <c r="B3" s="2821"/>
      <c r="C3" s="923" t="s">
        <v>1674</v>
      </c>
      <c r="D3" s="2821"/>
      <c r="E3" s="2821"/>
      <c r="F3" s="924" t="s">
        <v>662</v>
      </c>
    </row>
    <row r="4" spans="1:6" ht="11.25" customHeight="1" x14ac:dyDescent="0.25">
      <c r="A4" s="1966"/>
      <c r="B4" s="1827"/>
      <c r="C4" s="1827"/>
      <c r="D4" s="1967"/>
      <c r="E4" s="1968"/>
      <c r="F4" s="1628"/>
    </row>
    <row r="5" spans="1:6" ht="11.25" customHeight="1" x14ac:dyDescent="0.25">
      <c r="A5" s="1966"/>
      <c r="B5" s="1827"/>
      <c r="C5" s="1827"/>
      <c r="D5" s="1967"/>
      <c r="E5" s="1969"/>
      <c r="F5" s="1628"/>
    </row>
    <row r="6" spans="1:6" ht="11.25" customHeight="1" x14ac:dyDescent="0.25">
      <c r="A6" s="1966"/>
      <c r="B6" s="1827"/>
      <c r="C6" s="1827"/>
      <c r="D6" s="1967"/>
      <c r="E6" s="1968"/>
      <c r="F6" s="1628"/>
    </row>
    <row r="7" spans="1:6" ht="11.25" customHeight="1" x14ac:dyDescent="0.25">
      <c r="A7" s="1966"/>
      <c r="B7" s="1827"/>
      <c r="C7" s="1827"/>
      <c r="D7" s="1967"/>
      <c r="E7" s="1968"/>
      <c r="F7" s="1628"/>
    </row>
    <row r="8" spans="1:6" ht="11.25" customHeight="1" x14ac:dyDescent="0.25">
      <c r="A8" s="1966"/>
      <c r="B8" s="1827"/>
      <c r="C8" s="1827"/>
      <c r="D8" s="1967"/>
      <c r="E8" s="1968"/>
      <c r="F8" s="1628"/>
    </row>
    <row r="9" spans="1:6" ht="11.25" customHeight="1" x14ac:dyDescent="0.25">
      <c r="A9" s="1966"/>
      <c r="B9" s="1827"/>
      <c r="C9" s="1827"/>
      <c r="D9" s="1967"/>
      <c r="E9" s="1968"/>
      <c r="F9" s="1628"/>
    </row>
    <row r="10" spans="1:6" ht="11.25" customHeight="1" x14ac:dyDescent="0.25">
      <c r="A10" s="1966"/>
      <c r="B10" s="1827"/>
      <c r="C10" s="1827"/>
      <c r="D10" s="1967"/>
      <c r="E10" s="1968"/>
      <c r="F10" s="1628"/>
    </row>
    <row r="11" spans="1:6" ht="11.25" customHeight="1" x14ac:dyDescent="0.25">
      <c r="A11" s="1966"/>
      <c r="B11" s="1827"/>
      <c r="C11" s="1827"/>
      <c r="D11" s="1967"/>
      <c r="E11" s="1968"/>
      <c r="F11" s="1628"/>
    </row>
    <row r="12" spans="1:6" ht="11.25" customHeight="1" x14ac:dyDescent="0.25">
      <c r="A12" s="1966"/>
      <c r="B12" s="1827"/>
      <c r="C12" s="1827"/>
      <c r="D12" s="1967"/>
      <c r="E12" s="1968"/>
      <c r="F12" s="1628"/>
    </row>
    <row r="13" spans="1:6" ht="11.25" customHeight="1" x14ac:dyDescent="0.25">
      <c r="A13" s="1966"/>
      <c r="B13" s="1827"/>
      <c r="C13" s="1827"/>
      <c r="D13" s="1967"/>
      <c r="E13" s="1968"/>
      <c r="F13" s="1628"/>
    </row>
    <row r="14" spans="1:6" ht="11.25" customHeight="1" x14ac:dyDescent="0.25">
      <c r="A14" s="1966"/>
      <c r="B14" s="1827"/>
      <c r="C14" s="1827"/>
      <c r="D14" s="1967"/>
      <c r="E14" s="1968"/>
      <c r="F14" s="1628"/>
    </row>
    <row r="15" spans="1:6" ht="11.25" customHeight="1" x14ac:dyDescent="0.25">
      <c r="A15" s="1966"/>
      <c r="B15" s="1827"/>
      <c r="C15" s="1827"/>
      <c r="D15" s="1967"/>
      <c r="E15" s="1968"/>
      <c r="F15" s="1628"/>
    </row>
    <row r="16" spans="1:6" ht="11.25" customHeight="1" x14ac:dyDescent="0.25">
      <c r="A16" s="1966"/>
      <c r="B16" s="1827"/>
      <c r="C16" s="1827"/>
      <c r="D16" s="1967"/>
      <c r="E16" s="1968"/>
      <c r="F16" s="1628"/>
    </row>
    <row r="17" spans="1:12" ht="11.25" customHeight="1" x14ac:dyDescent="0.25">
      <c r="A17" s="1966"/>
      <c r="B17" s="1827"/>
      <c r="C17" s="1827"/>
      <c r="D17" s="1967"/>
      <c r="E17" s="1968"/>
      <c r="F17" s="1628"/>
    </row>
    <row r="18" spans="1:12" ht="11.25" customHeight="1" x14ac:dyDescent="0.25">
      <c r="A18" s="1966"/>
      <c r="B18" s="1827"/>
      <c r="C18" s="1827"/>
      <c r="D18" s="1967"/>
      <c r="E18" s="1968"/>
      <c r="F18" s="1628"/>
    </row>
    <row r="19" spans="1:12" ht="11.25" customHeight="1" x14ac:dyDescent="0.25">
      <c r="A19" s="1966"/>
      <c r="B19" s="1827"/>
      <c r="C19" s="1827"/>
      <c r="D19" s="1967"/>
      <c r="E19" s="1968"/>
      <c r="F19" s="1628"/>
    </row>
    <row r="20" spans="1:12" ht="11.25" customHeight="1" x14ac:dyDescent="0.25">
      <c r="A20" s="1966"/>
      <c r="B20" s="1827"/>
      <c r="C20" s="1827"/>
      <c r="D20" s="1967"/>
      <c r="E20" s="1968"/>
      <c r="F20" s="1628"/>
    </row>
    <row r="21" spans="1:12" ht="11.25" customHeight="1" x14ac:dyDescent="0.25">
      <c r="A21" s="1966"/>
      <c r="B21" s="1827"/>
      <c r="C21" s="1827"/>
      <c r="D21" s="1967"/>
      <c r="E21" s="1968"/>
      <c r="F21" s="1628"/>
    </row>
    <row r="22" spans="1:12" ht="11.25" customHeight="1" x14ac:dyDescent="0.25">
      <c r="A22" s="1966"/>
      <c r="B22" s="1827"/>
      <c r="C22" s="1827"/>
      <c r="D22" s="1967"/>
      <c r="E22" s="1968"/>
      <c r="F22" s="1628"/>
    </row>
    <row r="23" spans="1:12" x14ac:dyDescent="0.25">
      <c r="A23" s="1970"/>
      <c r="B23" s="1971"/>
      <c r="C23" s="1971"/>
      <c r="D23" s="1972"/>
      <c r="E23" s="1973"/>
      <c r="F23" s="1974"/>
    </row>
    <row r="24" spans="1:12" ht="6" customHeight="1" x14ac:dyDescent="0.25">
      <c r="A24" s="246"/>
      <c r="B24" s="236"/>
      <c r="C24" s="309"/>
      <c r="D24" s="309"/>
      <c r="E24" s="309"/>
      <c r="F24" s="309"/>
      <c r="J24" s="246"/>
      <c r="K24" s="246"/>
      <c r="L24" s="246"/>
    </row>
    <row r="25" spans="1:12" s="708" customFormat="1" x14ac:dyDescent="0.25">
      <c r="A25" s="1228" t="str">
        <f>head27a</f>
        <v>References</v>
      </c>
      <c r="B25" s="1033"/>
      <c r="C25" s="1075"/>
      <c r="D25" s="1075"/>
      <c r="E25" s="1075"/>
      <c r="F25" s="1075"/>
      <c r="J25" s="1057"/>
      <c r="K25" s="1057"/>
      <c r="L25" s="1057"/>
    </row>
    <row r="26" spans="1:12" s="708" customFormat="1" ht="11.25" customHeight="1" x14ac:dyDescent="0.25">
      <c r="A26" s="1190" t="s">
        <v>392</v>
      </c>
      <c r="B26" s="1033"/>
      <c r="C26" s="1037"/>
      <c r="D26" s="1036"/>
      <c r="E26" s="1037"/>
      <c r="F26" s="1037"/>
    </row>
    <row r="27" spans="1:12" s="708" customFormat="1" ht="11.25" customHeight="1" x14ac:dyDescent="0.25">
      <c r="A27" s="1190" t="s">
        <v>332</v>
      </c>
      <c r="B27" s="1033"/>
      <c r="C27" s="1075"/>
      <c r="D27" s="1075"/>
      <c r="E27" s="1075"/>
      <c r="F27" s="1075"/>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customSheetViews>
    <customSheetView guid="{F50C5479-5CC4-4FD7-8319-543D29E829F0}" showGridLines="0">
      <pane xSplit="1" ySplit="3" topLeftCell="B4" activePane="bottomRight" state="frozen"/>
      <selection pane="bottomRight" activeCell="I25" sqref="I25"/>
      <pageMargins left="0" right="0" top="0.78740157480314965" bottom="0.59055118110236227" header="0.51181102362204722" footer="0.39370078740157483"/>
      <printOptions horizontalCentered="1"/>
      <pageSetup paperSize="9" scale="80" orientation="portrait" r:id="rId1"/>
      <headerFooter alignWithMargins="0"/>
    </customSheetView>
  </customSheetViews>
  <mergeCells count="3">
    <mergeCell ref="D2:D3"/>
    <mergeCell ref="E2:E3"/>
    <mergeCell ref="B2:B3"/>
  </mergeCells>
  <phoneticPr fontId="2" type="noConversion"/>
  <dataValidations count="1">
    <dataValidation type="list" allowBlank="1" showInputMessage="1" showErrorMessage="1" promptTitle="Selection" prompt="Select period description" sqref="B4:B23">
      <formula1>List8</formula1>
    </dataValidation>
  </dataValidations>
  <printOptions horizontalCentered="1"/>
  <pageMargins left="0" right="0" top="0.78740157480314965" bottom="0.59055118110236227" header="0.51181102362204722" footer="0.39370078740157483"/>
  <pageSetup paperSize="9" scale="80" orientation="portrait" r:id="rId2"/>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42"/>
  </sheetPr>
  <dimension ref="A1:O83"/>
  <sheetViews>
    <sheetView showGridLines="0" zoomScaleNormal="100" workbookViewId="0">
      <pane xSplit="2" ySplit="3" topLeftCell="C4" activePane="bottomRight" state="frozen"/>
      <selection pane="topRight"/>
      <selection pane="bottomLeft"/>
      <selection pane="bottomRight" activeCell="C6" sqref="C6"/>
    </sheetView>
  </sheetViews>
  <sheetFormatPr defaultRowHeight="12.75" x14ac:dyDescent="0.25"/>
  <cols>
    <col min="1" max="1" width="30.7109375" style="149" customWidth="1"/>
    <col min="2" max="2" width="3" style="247" customWidth="1"/>
    <col min="3" max="7" width="9.28515625" style="149" customWidth="1"/>
    <col min="8" max="15" width="8.28515625" style="149" customWidth="1"/>
    <col min="16" max="17" width="9.5703125" style="149" customWidth="1"/>
    <col min="18" max="19" width="9.85546875" style="149" customWidth="1"/>
    <col min="20" max="16384" width="9.140625" style="149"/>
  </cols>
  <sheetData>
    <row r="1" spans="1:15" ht="13.5" customHeight="1" x14ac:dyDescent="0.25">
      <c r="A1" s="147" t="str">
        <f>muni&amp;" - "&amp; TableA33</f>
        <v>MP315 Thembisile Hani - Supporting Table SA33 Contracts having future budgetary implications</v>
      </c>
      <c r="B1" s="147"/>
      <c r="C1" s="147"/>
      <c r="D1" s="147"/>
      <c r="E1" s="147"/>
      <c r="F1" s="147"/>
      <c r="G1" s="147"/>
      <c r="H1" s="147"/>
      <c r="I1" s="147"/>
      <c r="J1" s="147"/>
      <c r="K1" s="147"/>
      <c r="L1" s="147"/>
      <c r="M1" s="147"/>
      <c r="N1" s="147"/>
      <c r="O1" s="147"/>
    </row>
    <row r="2" spans="1:15" ht="36" customHeight="1" x14ac:dyDescent="0.25">
      <c r="A2" s="980" t="str">
        <f>desc</f>
        <v>Description</v>
      </c>
      <c r="B2" s="418" t="str">
        <f>head27</f>
        <v>Ref</v>
      </c>
      <c r="C2" s="150" t="s">
        <v>427</v>
      </c>
      <c r="D2" s="146" t="str">
        <f>Head2</f>
        <v>Current Year 2014/15</v>
      </c>
      <c r="E2" s="2763" t="str">
        <f>Head3</f>
        <v>2015/16 Medium Term Revenue &amp; Expenditure Framework</v>
      </c>
      <c r="F2" s="2764"/>
      <c r="G2" s="2765"/>
      <c r="H2" s="144" t="str">
        <f>Head12</f>
        <v>Forecast 2018/19</v>
      </c>
      <c r="I2" s="150" t="str">
        <f>Head13</f>
        <v>Forecast 2019/20</v>
      </c>
      <c r="J2" s="150" t="str">
        <f>Head14</f>
        <v>Forecast 2020/21</v>
      </c>
      <c r="K2" s="150" t="str">
        <f>Head15</f>
        <v>Forecast 2021/22</v>
      </c>
      <c r="L2" s="150" t="str">
        <f>Head16</f>
        <v>Forecast 2022/23</v>
      </c>
      <c r="M2" s="150" t="str">
        <f>Head17</f>
        <v>Forecast 2023/24</v>
      </c>
      <c r="N2" s="146" t="str">
        <f>Head18</f>
        <v>Forecast 2024/25</v>
      </c>
      <c r="O2" s="925" t="s">
        <v>679</v>
      </c>
    </row>
    <row r="3" spans="1:15" ht="25.5" x14ac:dyDescent="0.25">
      <c r="A3" s="180" t="s">
        <v>662</v>
      </c>
      <c r="B3" s="926" t="s">
        <v>516</v>
      </c>
      <c r="C3" s="389" t="s">
        <v>770</v>
      </c>
      <c r="D3" s="390" t="str">
        <f>Head6</f>
        <v>Original Budget</v>
      </c>
      <c r="E3" s="299" t="str">
        <f>Head9</f>
        <v>Budget Year 2015/16</v>
      </c>
      <c r="F3" s="389" t="str">
        <f>Head10</f>
        <v>Budget Year +1 2016/17</v>
      </c>
      <c r="G3" s="390" t="str">
        <f>Head11</f>
        <v>Budget Year +2 2017/18</v>
      </c>
      <c r="H3" s="299" t="s">
        <v>398</v>
      </c>
      <c r="I3" s="389" t="s">
        <v>398</v>
      </c>
      <c r="J3" s="389" t="s">
        <v>398</v>
      </c>
      <c r="K3" s="389" t="s">
        <v>398</v>
      </c>
      <c r="L3" s="389" t="s">
        <v>398</v>
      </c>
      <c r="M3" s="389" t="s">
        <v>398</v>
      </c>
      <c r="N3" s="390" t="s">
        <v>398</v>
      </c>
      <c r="O3" s="998" t="s">
        <v>398</v>
      </c>
    </row>
    <row r="4" spans="1:15" x14ac:dyDescent="0.25">
      <c r="A4" s="265" t="s">
        <v>981</v>
      </c>
      <c r="B4" s="182"/>
      <c r="C4" s="311"/>
      <c r="D4" s="312"/>
      <c r="E4" s="313"/>
      <c r="F4" s="311"/>
      <c r="G4" s="314"/>
      <c r="H4" s="312"/>
      <c r="I4" s="311"/>
      <c r="J4" s="311"/>
      <c r="K4" s="311"/>
      <c r="L4" s="311"/>
      <c r="M4" s="311"/>
      <c r="N4" s="314"/>
      <c r="O4" s="419"/>
    </row>
    <row r="5" spans="1:15" x14ac:dyDescent="0.25">
      <c r="A5" s="249" t="s">
        <v>1601</v>
      </c>
      <c r="B5" s="182">
        <v>2</v>
      </c>
      <c r="C5" s="315"/>
      <c r="D5" s="316"/>
      <c r="E5" s="317"/>
      <c r="F5" s="315"/>
      <c r="G5" s="318"/>
      <c r="H5" s="316"/>
      <c r="I5" s="315"/>
      <c r="J5" s="315"/>
      <c r="K5" s="315"/>
      <c r="L5" s="315"/>
      <c r="M5" s="315"/>
      <c r="N5" s="318"/>
      <c r="O5" s="927"/>
    </row>
    <row r="6" spans="1:15" x14ac:dyDescent="0.25">
      <c r="A6" s="1940" t="s">
        <v>399</v>
      </c>
      <c r="B6" s="182"/>
      <c r="C6" s="1089"/>
      <c r="D6" s="1976"/>
      <c r="E6" s="1977"/>
      <c r="F6" s="1975"/>
      <c r="G6" s="1978"/>
      <c r="H6" s="1976"/>
      <c r="I6" s="1975"/>
      <c r="J6" s="1975"/>
      <c r="K6" s="1975"/>
      <c r="L6" s="1975"/>
      <c r="M6" s="1975"/>
      <c r="N6" s="1978"/>
      <c r="O6" s="585">
        <f>SUM(C6:N6)</f>
        <v>0</v>
      </c>
    </row>
    <row r="7" spans="1:15" x14ac:dyDescent="0.25">
      <c r="A7" s="1940" t="s">
        <v>400</v>
      </c>
      <c r="B7" s="182"/>
      <c r="C7" s="1641"/>
      <c r="D7" s="1644"/>
      <c r="E7" s="1643"/>
      <c r="F7" s="1641"/>
      <c r="G7" s="1642"/>
      <c r="H7" s="1644"/>
      <c r="I7" s="1641"/>
      <c r="J7" s="1641"/>
      <c r="K7" s="1641"/>
      <c r="L7" s="1641"/>
      <c r="M7" s="1641"/>
      <c r="N7" s="1642"/>
      <c r="O7" s="585">
        <f>SUM(C7:N7)</f>
        <v>0</v>
      </c>
    </row>
    <row r="8" spans="1:15" x14ac:dyDescent="0.25">
      <c r="A8" s="1940" t="s">
        <v>401</v>
      </c>
      <c r="B8" s="182"/>
      <c r="C8" s="1606"/>
      <c r="D8" s="1630"/>
      <c r="E8" s="1629"/>
      <c r="F8" s="1606"/>
      <c r="G8" s="1628"/>
      <c r="H8" s="1630"/>
      <c r="I8" s="1606"/>
      <c r="J8" s="1606"/>
      <c r="K8" s="1606"/>
      <c r="L8" s="1606"/>
      <c r="M8" s="1606"/>
      <c r="N8" s="1628"/>
      <c r="O8" s="585">
        <f>SUM(C8:N8)</f>
        <v>0</v>
      </c>
    </row>
    <row r="9" spans="1:15" x14ac:dyDescent="0.25">
      <c r="A9" s="265" t="s">
        <v>1333</v>
      </c>
      <c r="B9" s="182"/>
      <c r="C9" s="213">
        <f>SUM(C6:C8)</f>
        <v>0</v>
      </c>
      <c r="D9" s="212">
        <f t="shared" ref="D9:N9" si="0">SUM(D6:D8)</f>
        <v>0</v>
      </c>
      <c r="E9" s="215">
        <f t="shared" si="0"/>
        <v>0</v>
      </c>
      <c r="F9" s="213">
        <f t="shared" si="0"/>
        <v>0</v>
      </c>
      <c r="G9" s="214">
        <f t="shared" si="0"/>
        <v>0</v>
      </c>
      <c r="H9" s="212">
        <f t="shared" si="0"/>
        <v>0</v>
      </c>
      <c r="I9" s="213">
        <f t="shared" si="0"/>
        <v>0</v>
      </c>
      <c r="J9" s="213">
        <f t="shared" si="0"/>
        <v>0</v>
      </c>
      <c r="K9" s="213">
        <f t="shared" si="0"/>
        <v>0</v>
      </c>
      <c r="L9" s="213">
        <f t="shared" si="0"/>
        <v>0</v>
      </c>
      <c r="M9" s="213">
        <f t="shared" si="0"/>
        <v>0</v>
      </c>
      <c r="N9" s="214">
        <f t="shared" si="0"/>
        <v>0</v>
      </c>
      <c r="O9" s="928">
        <f>SUM(C9:N9)</f>
        <v>0</v>
      </c>
    </row>
    <row r="10" spans="1:15" ht="5.0999999999999996" customHeight="1" x14ac:dyDescent="0.25">
      <c r="A10" s="273"/>
      <c r="B10" s="182"/>
      <c r="C10" s="203"/>
      <c r="D10" s="202"/>
      <c r="E10" s="205"/>
      <c r="F10" s="203"/>
      <c r="G10" s="204"/>
      <c r="H10" s="202"/>
      <c r="I10" s="203"/>
      <c r="J10" s="203"/>
      <c r="K10" s="203"/>
      <c r="L10" s="203"/>
      <c r="M10" s="203"/>
      <c r="N10" s="204"/>
      <c r="O10" s="585"/>
    </row>
    <row r="11" spans="1:15" x14ac:dyDescent="0.25">
      <c r="A11" s="249" t="s">
        <v>982</v>
      </c>
      <c r="B11" s="182">
        <v>2</v>
      </c>
      <c r="C11" s="203"/>
      <c r="D11" s="202"/>
      <c r="E11" s="205"/>
      <c r="F11" s="203"/>
      <c r="G11" s="204"/>
      <c r="H11" s="202"/>
      <c r="I11" s="203"/>
      <c r="J11" s="203"/>
      <c r="K11" s="203"/>
      <c r="L11" s="203"/>
      <c r="M11" s="203"/>
      <c r="N11" s="204"/>
      <c r="O11" s="585"/>
    </row>
    <row r="12" spans="1:15" x14ac:dyDescent="0.25">
      <c r="A12" s="1940" t="s">
        <v>399</v>
      </c>
      <c r="B12" s="182"/>
      <c r="C12" s="1606"/>
      <c r="D12" s="1630"/>
      <c r="E12" s="1629"/>
      <c r="F12" s="1606"/>
      <c r="G12" s="1628"/>
      <c r="H12" s="1630"/>
      <c r="I12" s="1606"/>
      <c r="J12" s="1606"/>
      <c r="K12" s="1606"/>
      <c r="L12" s="1606"/>
      <c r="M12" s="1606"/>
      <c r="N12" s="1628"/>
      <c r="O12" s="585">
        <f>SUM(C12:N12)</f>
        <v>0</v>
      </c>
    </row>
    <row r="13" spans="1:15" x14ac:dyDescent="0.25">
      <c r="A13" s="1940" t="s">
        <v>400</v>
      </c>
      <c r="B13" s="182"/>
      <c r="C13" s="1606"/>
      <c r="D13" s="1630"/>
      <c r="E13" s="1629"/>
      <c r="F13" s="1606"/>
      <c r="G13" s="1628"/>
      <c r="H13" s="1630"/>
      <c r="I13" s="1606"/>
      <c r="J13" s="1606"/>
      <c r="K13" s="1606"/>
      <c r="L13" s="1606"/>
      <c r="M13" s="1606"/>
      <c r="N13" s="1628"/>
      <c r="O13" s="585">
        <f>SUM(C13:N13)</f>
        <v>0</v>
      </c>
    </row>
    <row r="14" spans="1:15" x14ac:dyDescent="0.25">
      <c r="A14" s="1940" t="s">
        <v>401</v>
      </c>
      <c r="B14" s="182"/>
      <c r="C14" s="1606"/>
      <c r="D14" s="1630"/>
      <c r="E14" s="1629"/>
      <c r="F14" s="1606"/>
      <c r="G14" s="1628"/>
      <c r="H14" s="1630"/>
      <c r="I14" s="1606"/>
      <c r="J14" s="1606"/>
      <c r="K14" s="1606"/>
      <c r="L14" s="1606"/>
      <c r="M14" s="1606"/>
      <c r="N14" s="1628"/>
      <c r="O14" s="585">
        <f>SUM(C14:N14)</f>
        <v>0</v>
      </c>
    </row>
    <row r="15" spans="1:15" x14ac:dyDescent="0.25">
      <c r="A15" s="265" t="s">
        <v>984</v>
      </c>
      <c r="B15" s="182"/>
      <c r="C15" s="408">
        <f t="shared" ref="C15:N15" si="1">SUM(C12:C14)</f>
        <v>0</v>
      </c>
      <c r="D15" s="411">
        <f t="shared" si="1"/>
        <v>0</v>
      </c>
      <c r="E15" s="410">
        <f t="shared" si="1"/>
        <v>0</v>
      </c>
      <c r="F15" s="408">
        <f t="shared" si="1"/>
        <v>0</v>
      </c>
      <c r="G15" s="409">
        <f t="shared" si="1"/>
        <v>0</v>
      </c>
      <c r="H15" s="411">
        <f t="shared" si="1"/>
        <v>0</v>
      </c>
      <c r="I15" s="408">
        <f t="shared" si="1"/>
        <v>0</v>
      </c>
      <c r="J15" s="408">
        <f t="shared" si="1"/>
        <v>0</v>
      </c>
      <c r="K15" s="408">
        <f t="shared" si="1"/>
        <v>0</v>
      </c>
      <c r="L15" s="408">
        <f t="shared" si="1"/>
        <v>0</v>
      </c>
      <c r="M15" s="408">
        <f t="shared" si="1"/>
        <v>0</v>
      </c>
      <c r="N15" s="409">
        <f t="shared" si="1"/>
        <v>0</v>
      </c>
      <c r="O15" s="928">
        <f>SUM(C15:N15)</f>
        <v>0</v>
      </c>
    </row>
    <row r="16" spans="1:15" ht="5.0999999999999996" customHeight="1" x14ac:dyDescent="0.25">
      <c r="A16" s="273"/>
      <c r="B16" s="182"/>
      <c r="C16" s="203"/>
      <c r="D16" s="202"/>
      <c r="E16" s="205"/>
      <c r="F16" s="203"/>
      <c r="G16" s="204"/>
      <c r="H16" s="202"/>
      <c r="I16" s="203"/>
      <c r="J16" s="203"/>
      <c r="K16" s="203"/>
      <c r="L16" s="203"/>
      <c r="M16" s="203"/>
      <c r="N16" s="204"/>
      <c r="O16" s="585"/>
    </row>
    <row r="17" spans="1:15" x14ac:dyDescent="0.25">
      <c r="A17" s="249" t="s">
        <v>983</v>
      </c>
      <c r="B17" s="182">
        <v>2</v>
      </c>
      <c r="C17" s="218"/>
      <c r="D17" s="217"/>
      <c r="E17" s="220"/>
      <c r="F17" s="218"/>
      <c r="G17" s="219"/>
      <c r="H17" s="217"/>
      <c r="I17" s="218"/>
      <c r="J17" s="218"/>
      <c r="K17" s="218"/>
      <c r="L17" s="218"/>
      <c r="M17" s="218"/>
      <c r="N17" s="219"/>
      <c r="O17" s="585"/>
    </row>
    <row r="18" spans="1:15" x14ac:dyDescent="0.25">
      <c r="A18" s="1940" t="s">
        <v>399</v>
      </c>
      <c r="B18" s="182"/>
      <c r="C18" s="1606"/>
      <c r="D18" s="1630"/>
      <c r="E18" s="1629"/>
      <c r="F18" s="1606"/>
      <c r="G18" s="1628"/>
      <c r="H18" s="1630"/>
      <c r="I18" s="1606"/>
      <c r="J18" s="1606"/>
      <c r="K18" s="1606"/>
      <c r="L18" s="1606"/>
      <c r="M18" s="1606"/>
      <c r="N18" s="1628"/>
      <c r="O18" s="585">
        <f>SUM(C18:N18)</f>
        <v>0</v>
      </c>
    </row>
    <row r="19" spans="1:15" x14ac:dyDescent="0.25">
      <c r="A19" s="1940" t="s">
        <v>400</v>
      </c>
      <c r="B19" s="182"/>
      <c r="C19" s="1606"/>
      <c r="D19" s="1630"/>
      <c r="E19" s="1629"/>
      <c r="F19" s="1606"/>
      <c r="G19" s="1628"/>
      <c r="H19" s="1630"/>
      <c r="I19" s="1606"/>
      <c r="J19" s="1606"/>
      <c r="K19" s="1606"/>
      <c r="L19" s="1606"/>
      <c r="M19" s="1606"/>
      <c r="N19" s="1628"/>
      <c r="O19" s="585">
        <f>SUM(C19:N19)</f>
        <v>0</v>
      </c>
    </row>
    <row r="20" spans="1:15" x14ac:dyDescent="0.25">
      <c r="A20" s="1940" t="s">
        <v>401</v>
      </c>
      <c r="B20" s="182"/>
      <c r="C20" s="1606"/>
      <c r="D20" s="1630"/>
      <c r="E20" s="1629"/>
      <c r="F20" s="1606"/>
      <c r="G20" s="1628"/>
      <c r="H20" s="1630"/>
      <c r="I20" s="1606"/>
      <c r="J20" s="1606"/>
      <c r="K20" s="1606"/>
      <c r="L20" s="1606"/>
      <c r="M20" s="1606"/>
      <c r="N20" s="1628"/>
      <c r="O20" s="585">
        <f>SUM(C20:N20)</f>
        <v>0</v>
      </c>
    </row>
    <row r="21" spans="1:15" x14ac:dyDescent="0.25">
      <c r="A21" s="265" t="s">
        <v>1415</v>
      </c>
      <c r="B21" s="182"/>
      <c r="C21" s="408">
        <f t="shared" ref="C21:N21" si="2">SUM(C18:C20)</f>
        <v>0</v>
      </c>
      <c r="D21" s="411">
        <f t="shared" si="2"/>
        <v>0</v>
      </c>
      <c r="E21" s="410">
        <f t="shared" si="2"/>
        <v>0</v>
      </c>
      <c r="F21" s="408">
        <f t="shared" si="2"/>
        <v>0</v>
      </c>
      <c r="G21" s="409">
        <f t="shared" si="2"/>
        <v>0</v>
      </c>
      <c r="H21" s="411">
        <f t="shared" si="2"/>
        <v>0</v>
      </c>
      <c r="I21" s="408">
        <f t="shared" si="2"/>
        <v>0</v>
      </c>
      <c r="J21" s="408">
        <f t="shared" si="2"/>
        <v>0</v>
      </c>
      <c r="K21" s="408">
        <f t="shared" si="2"/>
        <v>0</v>
      </c>
      <c r="L21" s="408">
        <f t="shared" si="2"/>
        <v>0</v>
      </c>
      <c r="M21" s="408">
        <f t="shared" si="2"/>
        <v>0</v>
      </c>
      <c r="N21" s="409">
        <f t="shared" si="2"/>
        <v>0</v>
      </c>
      <c r="O21" s="928">
        <f>SUM(C21:N21)</f>
        <v>0</v>
      </c>
    </row>
    <row r="22" spans="1:15" ht="5.0999999999999996" customHeight="1" x14ac:dyDescent="0.25">
      <c r="A22" s="273"/>
      <c r="B22" s="182"/>
      <c r="C22" s="203"/>
      <c r="D22" s="202"/>
      <c r="E22" s="205"/>
      <c r="F22" s="203"/>
      <c r="G22" s="204"/>
      <c r="H22" s="202"/>
      <c r="I22" s="203"/>
      <c r="J22" s="203"/>
      <c r="K22" s="203"/>
      <c r="L22" s="203"/>
      <c r="M22" s="203"/>
      <c r="N22" s="204"/>
      <c r="O22" s="585"/>
    </row>
    <row r="23" spans="1:15" x14ac:dyDescent="0.25">
      <c r="A23" s="281" t="s">
        <v>15</v>
      </c>
      <c r="B23" s="225"/>
      <c r="C23" s="230">
        <f>C15+C21</f>
        <v>0</v>
      </c>
      <c r="D23" s="231">
        <f t="shared" ref="D23:O23" si="3">D15+D21</f>
        <v>0</v>
      </c>
      <c r="E23" s="229">
        <f t="shared" si="3"/>
        <v>0</v>
      </c>
      <c r="F23" s="230">
        <f t="shared" si="3"/>
        <v>0</v>
      </c>
      <c r="G23" s="228">
        <f t="shared" si="3"/>
        <v>0</v>
      </c>
      <c r="H23" s="231">
        <f t="shared" si="3"/>
        <v>0</v>
      </c>
      <c r="I23" s="230">
        <f t="shared" si="3"/>
        <v>0</v>
      </c>
      <c r="J23" s="230">
        <f t="shared" si="3"/>
        <v>0</v>
      </c>
      <c r="K23" s="230">
        <f t="shared" si="3"/>
        <v>0</v>
      </c>
      <c r="L23" s="230">
        <f t="shared" si="3"/>
        <v>0</v>
      </c>
      <c r="M23" s="230">
        <f t="shared" si="3"/>
        <v>0</v>
      </c>
      <c r="N23" s="228">
        <f t="shared" si="3"/>
        <v>0</v>
      </c>
      <c r="O23" s="929">
        <f t="shared" si="3"/>
        <v>0</v>
      </c>
    </row>
    <row r="24" spans="1:15" ht="4.5" customHeight="1" x14ac:dyDescent="0.25">
      <c r="A24" s="249"/>
      <c r="B24" s="182"/>
      <c r="C24" s="315"/>
      <c r="D24" s="316"/>
      <c r="E24" s="317"/>
      <c r="F24" s="315"/>
      <c r="G24" s="318"/>
      <c r="H24" s="316"/>
      <c r="I24" s="315"/>
      <c r="J24" s="315"/>
      <c r="K24" s="315"/>
      <c r="L24" s="315"/>
      <c r="M24" s="315"/>
      <c r="N24" s="318"/>
      <c r="O24" s="927"/>
    </row>
    <row r="25" spans="1:15" x14ac:dyDescent="0.25">
      <c r="A25" s="265" t="s">
        <v>16</v>
      </c>
      <c r="B25" s="182"/>
      <c r="C25" s="315"/>
      <c r="D25" s="316"/>
      <c r="E25" s="317"/>
      <c r="F25" s="315"/>
      <c r="G25" s="318"/>
      <c r="H25" s="316"/>
      <c r="I25" s="315"/>
      <c r="J25" s="315"/>
      <c r="K25" s="315"/>
      <c r="L25" s="315"/>
      <c r="M25" s="315"/>
      <c r="N25" s="318"/>
      <c r="O25" s="927"/>
    </row>
    <row r="26" spans="1:15" ht="11.25" customHeight="1" x14ac:dyDescent="0.25">
      <c r="A26" s="249" t="s">
        <v>1601</v>
      </c>
      <c r="B26" s="182">
        <v>2</v>
      </c>
      <c r="C26" s="315"/>
      <c r="D26" s="316"/>
      <c r="E26" s="317"/>
      <c r="F26" s="315"/>
      <c r="G26" s="318"/>
      <c r="H26" s="316"/>
      <c r="I26" s="315"/>
      <c r="J26" s="315"/>
      <c r="K26" s="315"/>
      <c r="L26" s="315"/>
      <c r="M26" s="315"/>
      <c r="N26" s="318"/>
      <c r="O26" s="927"/>
    </row>
    <row r="27" spans="1:15" ht="11.25" customHeight="1" x14ac:dyDescent="0.25">
      <c r="A27" s="1940" t="s">
        <v>399</v>
      </c>
      <c r="B27" s="182"/>
      <c r="C27" s="1975"/>
      <c r="D27" s="1976"/>
      <c r="E27" s="1977"/>
      <c r="F27" s="1975"/>
      <c r="G27" s="1978"/>
      <c r="H27" s="1976"/>
      <c r="I27" s="1975"/>
      <c r="J27" s="1975"/>
      <c r="K27" s="1975"/>
      <c r="L27" s="1975"/>
      <c r="M27" s="1975"/>
      <c r="N27" s="1978"/>
      <c r="O27" s="585">
        <f>SUM(C27:N27)</f>
        <v>0</v>
      </c>
    </row>
    <row r="28" spans="1:15" ht="11.25" customHeight="1" x14ac:dyDescent="0.25">
      <c r="A28" s="1940" t="s">
        <v>400</v>
      </c>
      <c r="B28" s="182"/>
      <c r="C28" s="1641"/>
      <c r="D28" s="1644"/>
      <c r="E28" s="1643"/>
      <c r="F28" s="1641"/>
      <c r="G28" s="1642"/>
      <c r="H28" s="1644"/>
      <c r="I28" s="1641"/>
      <c r="J28" s="1641"/>
      <c r="K28" s="1641"/>
      <c r="L28" s="1641"/>
      <c r="M28" s="1641"/>
      <c r="N28" s="1642"/>
      <c r="O28" s="585">
        <f>SUM(C28:N28)</f>
        <v>0</v>
      </c>
    </row>
    <row r="29" spans="1:15" ht="11.25" customHeight="1" x14ac:dyDescent="0.25">
      <c r="A29" s="1940" t="s">
        <v>401</v>
      </c>
      <c r="B29" s="182"/>
      <c r="C29" s="1606"/>
      <c r="D29" s="1630"/>
      <c r="E29" s="1629"/>
      <c r="F29" s="1606"/>
      <c r="G29" s="1628"/>
      <c r="H29" s="1630"/>
      <c r="I29" s="1606"/>
      <c r="J29" s="1606"/>
      <c r="K29" s="1606"/>
      <c r="L29" s="1606"/>
      <c r="M29" s="1606"/>
      <c r="N29" s="1628"/>
      <c r="O29" s="585">
        <f>SUM(C29:N29)</f>
        <v>0</v>
      </c>
    </row>
    <row r="30" spans="1:15" ht="11.25" customHeight="1" x14ac:dyDescent="0.25">
      <c r="A30" s="265" t="s">
        <v>1333</v>
      </c>
      <c r="B30" s="182"/>
      <c r="C30" s="213">
        <f t="shared" ref="C30:N30" si="4">SUM(C27:C29)</f>
        <v>0</v>
      </c>
      <c r="D30" s="212">
        <f t="shared" si="4"/>
        <v>0</v>
      </c>
      <c r="E30" s="215">
        <f t="shared" si="4"/>
        <v>0</v>
      </c>
      <c r="F30" s="213">
        <f t="shared" si="4"/>
        <v>0</v>
      </c>
      <c r="G30" s="214">
        <f t="shared" si="4"/>
        <v>0</v>
      </c>
      <c r="H30" s="212">
        <f t="shared" si="4"/>
        <v>0</v>
      </c>
      <c r="I30" s="213">
        <f t="shared" si="4"/>
        <v>0</v>
      </c>
      <c r="J30" s="213">
        <f t="shared" si="4"/>
        <v>0</v>
      </c>
      <c r="K30" s="213">
        <f t="shared" si="4"/>
        <v>0</v>
      </c>
      <c r="L30" s="213">
        <f t="shared" si="4"/>
        <v>0</v>
      </c>
      <c r="M30" s="213">
        <f t="shared" si="4"/>
        <v>0</v>
      </c>
      <c r="N30" s="214">
        <f t="shared" si="4"/>
        <v>0</v>
      </c>
      <c r="O30" s="928">
        <f>SUM(C30:N30)</f>
        <v>0</v>
      </c>
    </row>
    <row r="31" spans="1:15" ht="5.0999999999999996" customHeight="1" x14ac:dyDescent="0.25">
      <c r="A31" s="273"/>
      <c r="B31" s="182"/>
      <c r="C31" s="203"/>
      <c r="D31" s="202"/>
      <c r="E31" s="205"/>
      <c r="F31" s="203"/>
      <c r="G31" s="204"/>
      <c r="H31" s="202"/>
      <c r="I31" s="203"/>
      <c r="J31" s="203"/>
      <c r="K31" s="203"/>
      <c r="L31" s="203"/>
      <c r="M31" s="203"/>
      <c r="N31" s="204"/>
      <c r="O31" s="585"/>
    </row>
    <row r="32" spans="1:15" ht="11.25" customHeight="1" x14ac:dyDescent="0.25">
      <c r="A32" s="249" t="s">
        <v>982</v>
      </c>
      <c r="B32" s="182">
        <v>2</v>
      </c>
      <c r="C32" s="203"/>
      <c r="D32" s="202"/>
      <c r="E32" s="205"/>
      <c r="F32" s="203"/>
      <c r="G32" s="204"/>
      <c r="H32" s="202"/>
      <c r="I32" s="203"/>
      <c r="J32" s="203"/>
      <c r="K32" s="203"/>
      <c r="L32" s="203"/>
      <c r="M32" s="203"/>
      <c r="N32" s="204"/>
      <c r="O32" s="585"/>
    </row>
    <row r="33" spans="1:15" ht="11.25" customHeight="1" x14ac:dyDescent="0.25">
      <c r="A33" s="1940" t="s">
        <v>399</v>
      </c>
      <c r="B33" s="182"/>
      <c r="C33" s="1606"/>
      <c r="D33" s="1630"/>
      <c r="E33" s="1629"/>
      <c r="F33" s="1606"/>
      <c r="G33" s="1628"/>
      <c r="H33" s="1630"/>
      <c r="I33" s="1606"/>
      <c r="J33" s="1606"/>
      <c r="K33" s="1606"/>
      <c r="L33" s="1606"/>
      <c r="M33" s="1606"/>
      <c r="N33" s="1628"/>
      <c r="O33" s="585">
        <f>SUM(C33:N33)</f>
        <v>0</v>
      </c>
    </row>
    <row r="34" spans="1:15" ht="11.25" customHeight="1" x14ac:dyDescent="0.25">
      <c r="A34" s="1940" t="s">
        <v>400</v>
      </c>
      <c r="B34" s="182"/>
      <c r="C34" s="1606"/>
      <c r="D34" s="1630"/>
      <c r="E34" s="1629"/>
      <c r="F34" s="1606"/>
      <c r="G34" s="1628"/>
      <c r="H34" s="1630"/>
      <c r="I34" s="1606"/>
      <c r="J34" s="1606"/>
      <c r="K34" s="1606"/>
      <c r="L34" s="1606"/>
      <c r="M34" s="1606"/>
      <c r="N34" s="1628"/>
      <c r="O34" s="585">
        <f>SUM(C34:N34)</f>
        <v>0</v>
      </c>
    </row>
    <row r="35" spans="1:15" ht="11.25" customHeight="1" x14ac:dyDescent="0.25">
      <c r="A35" s="1940" t="s">
        <v>401</v>
      </c>
      <c r="B35" s="182"/>
      <c r="C35" s="1606"/>
      <c r="D35" s="1630"/>
      <c r="E35" s="1629"/>
      <c r="F35" s="1606"/>
      <c r="G35" s="1628"/>
      <c r="H35" s="1630"/>
      <c r="I35" s="1606"/>
      <c r="J35" s="1606"/>
      <c r="K35" s="1606"/>
      <c r="L35" s="1606"/>
      <c r="M35" s="1606"/>
      <c r="N35" s="1628"/>
      <c r="O35" s="585">
        <f>SUM(C35:N35)</f>
        <v>0</v>
      </c>
    </row>
    <row r="36" spans="1:15" ht="11.25" customHeight="1" x14ac:dyDescent="0.25">
      <c r="A36" s="265" t="s">
        <v>984</v>
      </c>
      <c r="B36" s="182"/>
      <c r="C36" s="408">
        <f t="shared" ref="C36:N36" si="5">SUM(C33:C35)</f>
        <v>0</v>
      </c>
      <c r="D36" s="411">
        <f t="shared" si="5"/>
        <v>0</v>
      </c>
      <c r="E36" s="410">
        <f t="shared" si="5"/>
        <v>0</v>
      </c>
      <c r="F36" s="408">
        <f t="shared" si="5"/>
        <v>0</v>
      </c>
      <c r="G36" s="409">
        <f t="shared" si="5"/>
        <v>0</v>
      </c>
      <c r="H36" s="411">
        <f t="shared" si="5"/>
        <v>0</v>
      </c>
      <c r="I36" s="408">
        <f t="shared" si="5"/>
        <v>0</v>
      </c>
      <c r="J36" s="408">
        <f t="shared" si="5"/>
        <v>0</v>
      </c>
      <c r="K36" s="408">
        <f t="shared" si="5"/>
        <v>0</v>
      </c>
      <c r="L36" s="408">
        <f t="shared" si="5"/>
        <v>0</v>
      </c>
      <c r="M36" s="408">
        <f t="shared" si="5"/>
        <v>0</v>
      </c>
      <c r="N36" s="409">
        <f t="shared" si="5"/>
        <v>0</v>
      </c>
      <c r="O36" s="928">
        <f>SUM(C36:N36)</f>
        <v>0</v>
      </c>
    </row>
    <row r="37" spans="1:15" ht="5.0999999999999996" customHeight="1" x14ac:dyDescent="0.25">
      <c r="A37" s="273"/>
      <c r="B37" s="182"/>
      <c r="C37" s="203"/>
      <c r="D37" s="202"/>
      <c r="E37" s="205"/>
      <c r="F37" s="203"/>
      <c r="G37" s="204"/>
      <c r="H37" s="202"/>
      <c r="I37" s="203"/>
      <c r="J37" s="203"/>
      <c r="K37" s="203"/>
      <c r="L37" s="203"/>
      <c r="M37" s="203"/>
      <c r="N37" s="204"/>
      <c r="O37" s="1065"/>
    </row>
    <row r="38" spans="1:15" ht="11.25" customHeight="1" x14ac:dyDescent="0.25">
      <c r="A38" s="249" t="s">
        <v>983</v>
      </c>
      <c r="B38" s="182">
        <v>2</v>
      </c>
      <c r="C38" s="218"/>
      <c r="D38" s="217"/>
      <c r="E38" s="220"/>
      <c r="F38" s="218"/>
      <c r="G38" s="219"/>
      <c r="H38" s="217"/>
      <c r="I38" s="218"/>
      <c r="J38" s="218"/>
      <c r="K38" s="218"/>
      <c r="L38" s="218"/>
      <c r="M38" s="218"/>
      <c r="N38" s="219"/>
      <c r="O38" s="585"/>
    </row>
    <row r="39" spans="1:15" ht="11.25" customHeight="1" x14ac:dyDescent="0.25">
      <c r="A39" s="1940" t="s">
        <v>399</v>
      </c>
      <c r="B39" s="182"/>
      <c r="C39" s="1606"/>
      <c r="D39" s="1630"/>
      <c r="E39" s="1629"/>
      <c r="F39" s="1606"/>
      <c r="G39" s="1628"/>
      <c r="H39" s="1630"/>
      <c r="I39" s="1606"/>
      <c r="J39" s="1606"/>
      <c r="K39" s="1606"/>
      <c r="L39" s="1606"/>
      <c r="M39" s="1606"/>
      <c r="N39" s="1628"/>
      <c r="O39" s="585">
        <f>SUM(C39:N39)</f>
        <v>0</v>
      </c>
    </row>
    <row r="40" spans="1:15" ht="11.25" customHeight="1" x14ac:dyDescent="0.25">
      <c r="A40" s="1940" t="s">
        <v>400</v>
      </c>
      <c r="B40" s="182"/>
      <c r="C40" s="1606"/>
      <c r="D40" s="1630"/>
      <c r="E40" s="1629"/>
      <c r="F40" s="1606"/>
      <c r="G40" s="1628"/>
      <c r="H40" s="1630"/>
      <c r="I40" s="1606"/>
      <c r="J40" s="1606"/>
      <c r="K40" s="1606"/>
      <c r="L40" s="1606"/>
      <c r="M40" s="1606"/>
      <c r="N40" s="1628"/>
      <c r="O40" s="585">
        <f>SUM(C40:N40)</f>
        <v>0</v>
      </c>
    </row>
    <row r="41" spans="1:15" ht="11.25" customHeight="1" x14ac:dyDescent="0.25">
      <c r="A41" s="1940" t="s">
        <v>401</v>
      </c>
      <c r="B41" s="182"/>
      <c r="C41" s="1606"/>
      <c r="D41" s="1630"/>
      <c r="E41" s="1629"/>
      <c r="F41" s="1606"/>
      <c r="G41" s="1628"/>
      <c r="H41" s="1630"/>
      <c r="I41" s="1606"/>
      <c r="J41" s="1606"/>
      <c r="K41" s="1606"/>
      <c r="L41" s="1606"/>
      <c r="M41" s="1606"/>
      <c r="N41" s="1628"/>
      <c r="O41" s="585">
        <f>SUM(C41:N41)</f>
        <v>0</v>
      </c>
    </row>
    <row r="42" spans="1:15" ht="11.25" customHeight="1" x14ac:dyDescent="0.25">
      <c r="A42" s="265" t="s">
        <v>1415</v>
      </c>
      <c r="B42" s="182"/>
      <c r="C42" s="408">
        <f t="shared" ref="C42:N42" si="6">SUM(C39:C41)</f>
        <v>0</v>
      </c>
      <c r="D42" s="411">
        <f t="shared" si="6"/>
        <v>0</v>
      </c>
      <c r="E42" s="410">
        <f t="shared" si="6"/>
        <v>0</v>
      </c>
      <c r="F42" s="408">
        <f t="shared" si="6"/>
        <v>0</v>
      </c>
      <c r="G42" s="409">
        <f t="shared" si="6"/>
        <v>0</v>
      </c>
      <c r="H42" s="411">
        <f t="shared" si="6"/>
        <v>0</v>
      </c>
      <c r="I42" s="408">
        <f t="shared" si="6"/>
        <v>0</v>
      </c>
      <c r="J42" s="408">
        <f t="shared" si="6"/>
        <v>0</v>
      </c>
      <c r="K42" s="408">
        <f t="shared" si="6"/>
        <v>0</v>
      </c>
      <c r="L42" s="408">
        <f t="shared" si="6"/>
        <v>0</v>
      </c>
      <c r="M42" s="408">
        <f t="shared" si="6"/>
        <v>0</v>
      </c>
      <c r="N42" s="409">
        <f t="shared" si="6"/>
        <v>0</v>
      </c>
      <c r="O42" s="928">
        <f>SUM(C42:N42)</f>
        <v>0</v>
      </c>
    </row>
    <row r="43" spans="1:15" ht="5.0999999999999996" customHeight="1" x14ac:dyDescent="0.25">
      <c r="A43" s="273"/>
      <c r="B43" s="182"/>
      <c r="C43" s="203"/>
      <c r="D43" s="202"/>
      <c r="E43" s="205"/>
      <c r="F43" s="203"/>
      <c r="G43" s="204"/>
      <c r="H43" s="202"/>
      <c r="I43" s="203"/>
      <c r="J43" s="203"/>
      <c r="K43" s="203"/>
      <c r="L43" s="203"/>
      <c r="M43" s="203"/>
      <c r="N43" s="204"/>
      <c r="O43" s="585"/>
    </row>
    <row r="44" spans="1:15" ht="11.25" customHeight="1" x14ac:dyDescent="0.25">
      <c r="A44" s="281" t="s">
        <v>17</v>
      </c>
      <c r="B44" s="225"/>
      <c r="C44" s="230">
        <f>C36+C42</f>
        <v>0</v>
      </c>
      <c r="D44" s="231">
        <f t="shared" ref="D44:O44" si="7">D36+D42</f>
        <v>0</v>
      </c>
      <c r="E44" s="229">
        <f t="shared" si="7"/>
        <v>0</v>
      </c>
      <c r="F44" s="230">
        <f t="shared" si="7"/>
        <v>0</v>
      </c>
      <c r="G44" s="228">
        <f t="shared" si="7"/>
        <v>0</v>
      </c>
      <c r="H44" s="231">
        <f t="shared" si="7"/>
        <v>0</v>
      </c>
      <c r="I44" s="230">
        <f t="shared" si="7"/>
        <v>0</v>
      </c>
      <c r="J44" s="230">
        <f t="shared" si="7"/>
        <v>0</v>
      </c>
      <c r="K44" s="230">
        <f t="shared" si="7"/>
        <v>0</v>
      </c>
      <c r="L44" s="230">
        <f t="shared" si="7"/>
        <v>0</v>
      </c>
      <c r="M44" s="230">
        <f t="shared" si="7"/>
        <v>0</v>
      </c>
      <c r="N44" s="228">
        <f t="shared" si="7"/>
        <v>0</v>
      </c>
      <c r="O44" s="929">
        <f t="shared" si="7"/>
        <v>0</v>
      </c>
    </row>
    <row r="45" spans="1:15" s="708" customFormat="1" x14ac:dyDescent="0.25">
      <c r="A45" s="1257" t="str">
        <f>head27a</f>
        <v>References</v>
      </c>
      <c r="B45" s="1033"/>
      <c r="C45" s="1037"/>
      <c r="D45" s="1037"/>
      <c r="E45" s="1037"/>
      <c r="F45" s="1037"/>
      <c r="G45" s="1037"/>
      <c r="H45" s="1037"/>
      <c r="I45" s="1037"/>
      <c r="J45" s="1037"/>
      <c r="K45" s="1037"/>
      <c r="L45" s="1037"/>
      <c r="M45" s="1037"/>
      <c r="N45" s="1037"/>
      <c r="O45" s="1075"/>
    </row>
    <row r="46" spans="1:15" s="708" customFormat="1" ht="11.25" customHeight="1" x14ac:dyDescent="0.25">
      <c r="A46" s="1412" t="s">
        <v>18</v>
      </c>
      <c r="B46" s="1033"/>
      <c r="C46" s="1036"/>
      <c r="D46" s="1037"/>
      <c r="E46" s="1037"/>
      <c r="F46" s="1037"/>
      <c r="G46" s="1037"/>
    </row>
    <row r="47" spans="1:15" s="708" customFormat="1" ht="11.25" customHeight="1" x14ac:dyDescent="0.25">
      <c r="A47" s="1258" t="s">
        <v>1425</v>
      </c>
      <c r="B47" s="1033"/>
      <c r="C47" s="1036"/>
      <c r="D47" s="1037"/>
      <c r="E47" s="1037"/>
      <c r="F47" s="1037"/>
      <c r="G47" s="1037"/>
    </row>
    <row r="48" spans="1:15" ht="24.75" customHeight="1" x14ac:dyDescent="0.25">
      <c r="A48" s="2846" t="s">
        <v>682</v>
      </c>
      <c r="B48" s="2847"/>
      <c r="C48" s="2847"/>
      <c r="D48" s="2847"/>
      <c r="E48" s="2847"/>
      <c r="F48" s="2847"/>
      <c r="G48" s="2847"/>
      <c r="H48" s="2847"/>
      <c r="I48" s="2847"/>
      <c r="J48" s="2847"/>
      <c r="K48" s="2847"/>
      <c r="L48" s="2847"/>
      <c r="M48" s="2847"/>
      <c r="N48" s="2847"/>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customSheetViews>
    <customSheetView guid="{F50C5479-5CC4-4FD7-8319-543D29E829F0}" showGridLines="0">
      <pane xSplit="2" ySplit="3" topLeftCell="C4" activePane="bottomRight" state="frozen"/>
      <selection pane="bottomRight" activeCell="C6" sqref="C6"/>
      <pageMargins left="0" right="0" top="0.78740157480314965" bottom="0.59055118110236227" header="0.51181102362204722" footer="0.39370078740157483"/>
      <printOptions horizontalCentered="1"/>
      <pageSetup paperSize="9" scale="80" orientation="landscape" r:id="rId1"/>
      <headerFooter alignWithMargins="0"/>
    </customSheetView>
  </customSheetViews>
  <mergeCells count="2">
    <mergeCell ref="E2:G2"/>
    <mergeCell ref="A48:N48"/>
  </mergeCells>
  <phoneticPr fontId="2" type="noConversion"/>
  <printOptions horizontalCentered="1"/>
  <pageMargins left="0" right="0" top="0.78740157480314965" bottom="0.59055118110236227" header="0.51181102362204722" footer="0.39370078740157483"/>
  <pageSetup paperSize="9" scale="75" orientation="landscape" r:id="rId2"/>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indexed="42"/>
  </sheetPr>
  <dimension ref="A1:O132"/>
  <sheetViews>
    <sheetView showGridLines="0" zoomScaleNormal="100" workbookViewId="0">
      <pane xSplit="2" ySplit="3" topLeftCell="C4" activePane="bottomRight" state="frozen"/>
      <selection pane="topRight"/>
      <selection pane="bottomLeft"/>
      <selection pane="bottomRight" activeCell="A12" sqref="A12:A13"/>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"&amp;TableA34a</f>
        <v>MP315 Thembisile Hani - Supporting Table SA34a Capital expenditure on new assets by asset class</v>
      </c>
      <c r="B1" s="147"/>
      <c r="C1" s="147"/>
      <c r="D1" s="147"/>
      <c r="E1" s="147"/>
      <c r="F1" s="147"/>
      <c r="G1" s="147"/>
      <c r="H1" s="147"/>
      <c r="I1" s="147"/>
      <c r="J1" s="147"/>
      <c r="K1" s="147"/>
    </row>
    <row r="2" spans="1:12"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67"/>
      <c r="I2" s="2763" t="str">
        <f>Head3</f>
        <v>2015/16 Medium Term Revenue &amp; Expenditure Framework</v>
      </c>
      <c r="J2" s="2764"/>
      <c r="K2" s="2765"/>
    </row>
    <row r="3" spans="1:12" ht="25.5" x14ac:dyDescent="0.25">
      <c r="A3" s="180" t="s">
        <v>662</v>
      </c>
      <c r="B3" s="981">
        <v>1</v>
      </c>
      <c r="C3" s="389" t="str">
        <f>Head5</f>
        <v>Audited Outcome</v>
      </c>
      <c r="D3" s="994" t="str">
        <f>Head5</f>
        <v>Audited Outcome</v>
      </c>
      <c r="E3" s="390" t="str">
        <f>Head5</f>
        <v>Audited Outcome</v>
      </c>
      <c r="F3" s="299" t="str">
        <f>Head6</f>
        <v>Original Budget</v>
      </c>
      <c r="G3" s="389" t="str">
        <f>Head7</f>
        <v>Adjusted Budget</v>
      </c>
      <c r="H3" s="388" t="str">
        <f>Head8</f>
        <v>Full Year Forecast</v>
      </c>
      <c r="I3" s="299" t="str">
        <f>Head9</f>
        <v>Budget Year 2015/16</v>
      </c>
      <c r="J3" s="389" t="str">
        <f>Head10</f>
        <v>Budget Year +1 2016/17</v>
      </c>
      <c r="K3" s="390" t="str">
        <f>Head11</f>
        <v>Budget Year +2 2017/18</v>
      </c>
    </row>
    <row r="4" spans="1:12" ht="11.25" customHeight="1" x14ac:dyDescent="0.25">
      <c r="A4" s="856" t="s">
        <v>1222</v>
      </c>
      <c r="B4" s="744"/>
      <c r="C4" s="1095"/>
      <c r="D4" s="311"/>
      <c r="E4" s="314"/>
      <c r="F4" s="313"/>
      <c r="G4" s="311"/>
      <c r="H4" s="312"/>
      <c r="I4" s="313"/>
      <c r="J4" s="311"/>
      <c r="K4" s="314"/>
      <c r="L4" s="369"/>
    </row>
    <row r="5" spans="1:12" ht="5.0999999999999996" customHeight="1" x14ac:dyDescent="0.25">
      <c r="A5" s="249"/>
      <c r="B5" s="182"/>
      <c r="C5" s="315"/>
      <c r="D5" s="315"/>
      <c r="E5" s="318"/>
      <c r="F5" s="317"/>
      <c r="G5" s="315"/>
      <c r="H5" s="316"/>
      <c r="I5" s="317"/>
      <c r="J5" s="315"/>
      <c r="K5" s="318"/>
      <c r="L5" s="369"/>
    </row>
    <row r="6" spans="1:12" ht="11.25" customHeight="1" x14ac:dyDescent="0.25">
      <c r="A6" s="249" t="s">
        <v>969</v>
      </c>
      <c r="B6" s="182"/>
      <c r="C6" s="393">
        <f t="shared" ref="C6:K6" si="0">C7+C10+C14+C18+C21</f>
        <v>44966000</v>
      </c>
      <c r="D6" s="393">
        <f t="shared" si="0"/>
        <v>15062942</v>
      </c>
      <c r="E6" s="345">
        <f t="shared" si="0"/>
        <v>98496569</v>
      </c>
      <c r="F6" s="394">
        <f t="shared" si="0"/>
        <v>110819751.63</v>
      </c>
      <c r="G6" s="393">
        <f t="shared" si="0"/>
        <v>111250502.90999998</v>
      </c>
      <c r="H6" s="395">
        <f t="shared" si="0"/>
        <v>111250502.90999998</v>
      </c>
      <c r="I6" s="394">
        <f t="shared" si="0"/>
        <v>116249135</v>
      </c>
      <c r="J6" s="393">
        <f t="shared" si="0"/>
        <v>123107833.96499999</v>
      </c>
      <c r="K6" s="345">
        <f t="shared" si="0"/>
        <v>130001872.66704001</v>
      </c>
      <c r="L6" s="1551"/>
    </row>
    <row r="7" spans="1:12" s="1527" customFormat="1" ht="13.5" x14ac:dyDescent="0.25">
      <c r="A7" s="250" t="s">
        <v>533</v>
      </c>
      <c r="B7" s="182"/>
      <c r="C7" s="1106">
        <f>SUM(C8:C9)</f>
        <v>0</v>
      </c>
      <c r="D7" s="1106">
        <f t="shared" ref="D7:K7" si="1">SUM(D8:D9)</f>
        <v>7741027</v>
      </c>
      <c r="E7" s="1419">
        <f t="shared" si="1"/>
        <v>72282512</v>
      </c>
      <c r="F7" s="1107">
        <f t="shared" si="1"/>
        <v>23280750</v>
      </c>
      <c r="G7" s="1106">
        <f t="shared" si="1"/>
        <v>3479135.0599999987</v>
      </c>
      <c r="H7" s="1143">
        <f t="shared" si="1"/>
        <v>3479135.0599999987</v>
      </c>
      <c r="I7" s="1420">
        <f t="shared" si="1"/>
        <v>0</v>
      </c>
      <c r="J7" s="1106">
        <f t="shared" si="1"/>
        <v>0</v>
      </c>
      <c r="K7" s="1143">
        <f t="shared" si="1"/>
        <v>0</v>
      </c>
      <c r="L7" s="369"/>
    </row>
    <row r="8" spans="1:12" s="1527" customFormat="1" ht="13.5" x14ac:dyDescent="0.25">
      <c r="A8" s="1285" t="s">
        <v>534</v>
      </c>
      <c r="B8" s="182"/>
      <c r="C8" s="1606"/>
      <c r="D8" s="1606">
        <v>7741027</v>
      </c>
      <c r="E8" s="1628">
        <v>72282512</v>
      </c>
      <c r="F8" s="1629">
        <v>23280750</v>
      </c>
      <c r="G8" s="1606">
        <v>3479135.0599999987</v>
      </c>
      <c r="H8" s="1630">
        <v>3479135.0599999987</v>
      </c>
      <c r="I8" s="1629">
        <v>0</v>
      </c>
      <c r="J8" s="1606">
        <f>I8*1.3059</f>
        <v>0</v>
      </c>
      <c r="K8" s="1628">
        <f>J8*1.056</f>
        <v>0</v>
      </c>
      <c r="L8" s="1551"/>
    </row>
    <row r="9" spans="1:12" s="1527" customFormat="1" ht="13.5" x14ac:dyDescent="0.25">
      <c r="A9" s="1285" t="s">
        <v>535</v>
      </c>
      <c r="B9" s="182"/>
      <c r="C9" s="1606"/>
      <c r="D9" s="1606"/>
      <c r="E9" s="1628"/>
      <c r="F9" s="1629"/>
      <c r="G9" s="1606"/>
      <c r="H9" s="1630"/>
      <c r="I9" s="1629"/>
      <c r="J9" s="1606"/>
      <c r="K9" s="1628"/>
      <c r="L9" s="1552"/>
    </row>
    <row r="10" spans="1:12" s="1527" customFormat="1" ht="13.5" x14ac:dyDescent="0.25">
      <c r="A10" s="250" t="s">
        <v>21</v>
      </c>
      <c r="B10" s="182"/>
      <c r="C10" s="1059">
        <f>SUM(C11:C13)</f>
        <v>0</v>
      </c>
      <c r="D10" s="1059">
        <f t="shared" ref="D10:K10" si="2">SUM(D11:D13)</f>
        <v>1317890</v>
      </c>
      <c r="E10" s="1421">
        <f t="shared" si="2"/>
        <v>0</v>
      </c>
      <c r="F10" s="1063">
        <f t="shared" si="2"/>
        <v>3000000</v>
      </c>
      <c r="G10" s="1059">
        <f t="shared" si="2"/>
        <v>6564292.3799999999</v>
      </c>
      <c r="H10" s="1146">
        <f t="shared" si="2"/>
        <v>6564292.3799999999</v>
      </c>
      <c r="I10" s="1422">
        <f t="shared" si="2"/>
        <v>10257704</v>
      </c>
      <c r="J10" s="1059">
        <f t="shared" si="2"/>
        <v>10862908.536</v>
      </c>
      <c r="K10" s="1146">
        <f t="shared" si="2"/>
        <v>11471231.414016001</v>
      </c>
      <c r="L10" s="1552"/>
    </row>
    <row r="11" spans="1:12" s="1527" customFormat="1" ht="13.5" x14ac:dyDescent="0.25">
      <c r="A11" s="1285" t="s">
        <v>22</v>
      </c>
      <c r="B11" s="182"/>
      <c r="C11" s="1606"/>
      <c r="D11" s="1606"/>
      <c r="E11" s="1607"/>
      <c r="F11" s="1608"/>
      <c r="G11" s="1606"/>
      <c r="H11" s="1609"/>
      <c r="I11" s="1610"/>
      <c r="J11" s="1606"/>
      <c r="K11" s="1609"/>
      <c r="L11" s="1552"/>
    </row>
    <row r="12" spans="1:12" s="1527" customFormat="1" ht="13.5" x14ac:dyDescent="0.25">
      <c r="A12" s="1285" t="s">
        <v>23</v>
      </c>
      <c r="B12" s="182"/>
      <c r="C12" s="1606"/>
      <c r="D12" s="1606"/>
      <c r="E12" s="1607"/>
      <c r="F12" s="1608"/>
      <c r="G12" s="1606"/>
      <c r="H12" s="1609"/>
      <c r="I12" s="1610">
        <v>1100000</v>
      </c>
      <c r="J12" s="1606">
        <f>I12*1.059</f>
        <v>1164900</v>
      </c>
      <c r="K12" s="1609">
        <f>J12*1.056</f>
        <v>1230134.4000000001</v>
      </c>
      <c r="L12" s="1552"/>
    </row>
    <row r="13" spans="1:12" s="1527" customFormat="1" ht="13.5" x14ac:dyDescent="0.25">
      <c r="A13" s="1285" t="s">
        <v>137</v>
      </c>
      <c r="B13" s="182"/>
      <c r="C13" s="1606"/>
      <c r="D13" s="1606">
        <v>1317890</v>
      </c>
      <c r="E13" s="1607"/>
      <c r="F13" s="1608">
        <v>3000000</v>
      </c>
      <c r="G13" s="1606">
        <v>6564292.3799999999</v>
      </c>
      <c r="H13" s="1609">
        <v>6564292.3799999999</v>
      </c>
      <c r="I13" s="1610">
        <f>A5A!J267+A5A!J270+A5A!J272+A5A!J273+A5A!J274+A5A!J275+A5A!J276+A5A!J277+A5A!J279+A5A!J281+A5A!J282+A5A!J283+A5A!J287+A5A!J288+A5A!J289+A5A!J290+A5A!J291+A5A!J292+A5A!J293+A5A!J294+A5A!J295+A5A!J296+A5A!J297+A5A!J298</f>
        <v>9157704</v>
      </c>
      <c r="J13" s="1606">
        <f>I13*1.059</f>
        <v>9698008.5360000003</v>
      </c>
      <c r="K13" s="1609">
        <f>J13*1.056</f>
        <v>10241097.014016001</v>
      </c>
      <c r="L13" s="1552"/>
    </row>
    <row r="14" spans="1:12" s="1527" customFormat="1" ht="13.5" x14ac:dyDescent="0.25">
      <c r="A14" s="254" t="s">
        <v>24</v>
      </c>
      <c r="B14" s="350"/>
      <c r="C14" s="1059">
        <f>SUM(C15:C17)</f>
        <v>0</v>
      </c>
      <c r="D14" s="1059">
        <f t="shared" ref="D14:K14" si="3">SUM(D15:D17)</f>
        <v>1895222</v>
      </c>
      <c r="E14" s="1421">
        <f t="shared" si="3"/>
        <v>26214057</v>
      </c>
      <c r="F14" s="1063">
        <f t="shared" si="3"/>
        <v>69539001.629999995</v>
      </c>
      <c r="G14" s="1059">
        <f t="shared" si="3"/>
        <v>94490831.229999989</v>
      </c>
      <c r="H14" s="1146">
        <f t="shared" si="3"/>
        <v>94490831.229999989</v>
      </c>
      <c r="I14" s="1422">
        <f t="shared" si="3"/>
        <v>94645939</v>
      </c>
      <c r="J14" s="1059">
        <f t="shared" si="3"/>
        <v>100230049.40099999</v>
      </c>
      <c r="K14" s="1146">
        <f t="shared" si="3"/>
        <v>105842932.167456</v>
      </c>
      <c r="L14" s="1552"/>
    </row>
    <row r="15" spans="1:12" s="1527" customFormat="1" ht="13.5" x14ac:dyDescent="0.25">
      <c r="A15" s="1285" t="s">
        <v>25</v>
      </c>
      <c r="B15" s="182"/>
      <c r="C15" s="1606"/>
      <c r="D15" s="1606"/>
      <c r="E15" s="1607"/>
      <c r="F15" s="1608"/>
      <c r="G15" s="1606"/>
      <c r="H15" s="1609"/>
      <c r="I15" s="1610">
        <f>A5A!J249+A5A!J250+A5A!J252+A5A!J299+A5A!J300+A5A!J307+A5A!J308+A5A!J309+A5A!J310+A5A!J311+A5A!J312+A5A!J313+A5A!J314+A5A!J315+A5A!J316+A5A!J317+A5A!J318+A5A!J319+A5A!J320+A5A!J321+A5A!J322+A5A!J323+A5A!J324+A5A!J325+A5A!J326</f>
        <v>94645939</v>
      </c>
      <c r="J15" s="1606">
        <f>I15*1.059</f>
        <v>100230049.40099999</v>
      </c>
      <c r="K15" s="1609">
        <f>J15*1.056</f>
        <v>105842932.167456</v>
      </c>
      <c r="L15" s="1552"/>
    </row>
    <row r="16" spans="1:12" s="1527" customFormat="1" ht="13.5" x14ac:dyDescent="0.25">
      <c r="A16" s="1285" t="s">
        <v>26</v>
      </c>
      <c r="B16" s="182"/>
      <c r="C16" s="1606"/>
      <c r="D16" s="1606"/>
      <c r="E16" s="1607"/>
      <c r="F16" s="1608"/>
      <c r="G16" s="1606"/>
      <c r="H16" s="1609"/>
      <c r="I16" s="1610"/>
      <c r="J16" s="1606"/>
      <c r="K16" s="1609"/>
      <c r="L16" s="1552"/>
    </row>
    <row r="17" spans="1:12" s="1527" customFormat="1" ht="13.5" x14ac:dyDescent="0.25">
      <c r="A17" s="1285" t="s">
        <v>27</v>
      </c>
      <c r="B17" s="182"/>
      <c r="C17" s="1606"/>
      <c r="D17" s="1606">
        <v>1895222</v>
      </c>
      <c r="E17" s="1607">
        <v>26214057</v>
      </c>
      <c r="F17" s="1608">
        <v>69539001.629999995</v>
      </c>
      <c r="G17" s="1606">
        <v>94490831.229999989</v>
      </c>
      <c r="H17" s="1609">
        <v>94490831.229999989</v>
      </c>
      <c r="I17" s="1610">
        <f>A5A!J257+A5A!J260+A5A!J262+A5A!J263</f>
        <v>0</v>
      </c>
      <c r="J17" s="1606">
        <f>I17*1.059</f>
        <v>0</v>
      </c>
      <c r="K17" s="1609">
        <f>J17*1.056</f>
        <v>0</v>
      </c>
      <c r="L17" s="1552"/>
    </row>
    <row r="18" spans="1:12" s="1527" customFormat="1" ht="13.5" x14ac:dyDescent="0.25">
      <c r="A18" s="254" t="s">
        <v>28</v>
      </c>
      <c r="B18" s="182"/>
      <c r="C18" s="1059">
        <f t="shared" ref="C18:K18" si="4">SUM(C19:C20)</f>
        <v>0</v>
      </c>
      <c r="D18" s="1059">
        <f t="shared" si="4"/>
        <v>4108803</v>
      </c>
      <c r="E18" s="1421">
        <f t="shared" si="4"/>
        <v>0</v>
      </c>
      <c r="F18" s="1063">
        <f t="shared" si="4"/>
        <v>5000000</v>
      </c>
      <c r="G18" s="1059">
        <f t="shared" si="4"/>
        <v>6000000</v>
      </c>
      <c r="H18" s="1146">
        <f t="shared" si="4"/>
        <v>6000000</v>
      </c>
      <c r="I18" s="1422">
        <f t="shared" si="4"/>
        <v>11345492</v>
      </c>
      <c r="J18" s="1059">
        <f t="shared" si="4"/>
        <v>12014876.027999999</v>
      </c>
      <c r="K18" s="1146">
        <f t="shared" si="4"/>
        <v>12687709.085568</v>
      </c>
      <c r="L18" s="1552"/>
    </row>
    <row r="19" spans="1:12" s="1527" customFormat="1" ht="13.5" x14ac:dyDescent="0.25">
      <c r="A19" s="1285" t="s">
        <v>27</v>
      </c>
      <c r="B19" s="182"/>
      <c r="C19" s="1606"/>
      <c r="D19" s="1606"/>
      <c r="E19" s="1607"/>
      <c r="F19" s="1608"/>
      <c r="G19" s="1606"/>
      <c r="H19" s="1609"/>
      <c r="I19" s="1610"/>
      <c r="J19" s="1606"/>
      <c r="K19" s="1609"/>
      <c r="L19" s="1552"/>
    </row>
    <row r="20" spans="1:12" s="1527" customFormat="1" ht="13.5" x14ac:dyDescent="0.25">
      <c r="A20" s="1285" t="s">
        <v>29</v>
      </c>
      <c r="B20" s="182"/>
      <c r="C20" s="1606"/>
      <c r="D20" s="1606">
        <v>4108803</v>
      </c>
      <c r="E20" s="1607"/>
      <c r="F20" s="1608">
        <v>5000000</v>
      </c>
      <c r="G20" s="1606">
        <v>6000000</v>
      </c>
      <c r="H20" s="1609">
        <v>6000000</v>
      </c>
      <c r="I20" s="1610">
        <f>A5A!J246+A5A!J247</f>
        <v>11345492</v>
      </c>
      <c r="J20" s="1606">
        <f>I20*1.059</f>
        <v>12014876.027999999</v>
      </c>
      <c r="K20" s="1609">
        <f>J20*1.056</f>
        <v>12687709.085568</v>
      </c>
      <c r="L20" s="1552"/>
    </row>
    <row r="21" spans="1:12" s="1527" customFormat="1" ht="13.5" x14ac:dyDescent="0.25">
      <c r="A21" s="250" t="s">
        <v>30</v>
      </c>
      <c r="B21" s="182"/>
      <c r="C21" s="1059">
        <f>SUM(C22:C25)</f>
        <v>44966000</v>
      </c>
      <c r="D21" s="1059">
        <f t="shared" ref="D21:K21" si="5">SUM(D22:D25)</f>
        <v>0</v>
      </c>
      <c r="E21" s="1059">
        <f t="shared" si="5"/>
        <v>0</v>
      </c>
      <c r="F21" s="1063">
        <f t="shared" si="5"/>
        <v>10000000</v>
      </c>
      <c r="G21" s="1059">
        <f t="shared" si="5"/>
        <v>716244.24000000022</v>
      </c>
      <c r="H21" s="1146">
        <f t="shared" si="5"/>
        <v>716244.24000000022</v>
      </c>
      <c r="I21" s="1422">
        <f t="shared" si="5"/>
        <v>0</v>
      </c>
      <c r="J21" s="1059">
        <f t="shared" si="5"/>
        <v>0</v>
      </c>
      <c r="K21" s="1146">
        <f t="shared" si="5"/>
        <v>0</v>
      </c>
      <c r="L21" s="1552"/>
    </row>
    <row r="22" spans="1:12" s="1527" customFormat="1" ht="13.5" x14ac:dyDescent="0.25">
      <c r="A22" s="1285" t="s">
        <v>1078</v>
      </c>
      <c r="B22" s="182"/>
      <c r="C22" s="1606"/>
      <c r="D22" s="1606"/>
      <c r="E22" s="1630"/>
      <c r="F22" s="1629"/>
      <c r="G22" s="1606"/>
      <c r="H22" s="1630"/>
      <c r="I22" s="1629"/>
      <c r="J22" s="1606"/>
      <c r="K22" s="1609"/>
      <c r="L22" s="1551"/>
    </row>
    <row r="23" spans="1:12" s="1527" customFormat="1" ht="13.5" x14ac:dyDescent="0.25">
      <c r="A23" s="1285" t="s">
        <v>320</v>
      </c>
      <c r="B23" s="182">
        <v>2</v>
      </c>
      <c r="C23" s="1606"/>
      <c r="D23" s="1606"/>
      <c r="E23" s="1628"/>
      <c r="F23" s="1629"/>
      <c r="G23" s="1606"/>
      <c r="H23" s="1630"/>
      <c r="I23" s="1629"/>
      <c r="J23" s="1606"/>
      <c r="K23" s="1609"/>
      <c r="L23" s="1552"/>
    </row>
    <row r="24" spans="1:12" s="1527" customFormat="1" ht="13.5" x14ac:dyDescent="0.25">
      <c r="A24" s="1285" t="s">
        <v>138</v>
      </c>
      <c r="B24" s="182"/>
      <c r="C24" s="1606"/>
      <c r="D24" s="1606"/>
      <c r="E24" s="1628"/>
      <c r="F24" s="1629"/>
      <c r="G24" s="1606"/>
      <c r="H24" s="1630"/>
      <c r="I24" s="1629"/>
      <c r="J24" s="1606"/>
      <c r="K24" s="1628"/>
      <c r="L24" s="1552"/>
    </row>
    <row r="25" spans="1:12" s="1527" customFormat="1" ht="13.5" x14ac:dyDescent="0.25">
      <c r="A25" s="1285" t="s">
        <v>292</v>
      </c>
      <c r="B25" s="182">
        <v>3</v>
      </c>
      <c r="C25" s="1606">
        <v>44966000</v>
      </c>
      <c r="D25" s="1606"/>
      <c r="E25" s="1628">
        <v>0</v>
      </c>
      <c r="F25" s="1629">
        <v>10000000</v>
      </c>
      <c r="G25" s="1606">
        <v>716244.24000000022</v>
      </c>
      <c r="H25" s="1630">
        <v>716244.24000000022</v>
      </c>
      <c r="I25" s="1629"/>
      <c r="J25" s="1606"/>
      <c r="K25" s="1628"/>
      <c r="L25" s="1552"/>
    </row>
    <row r="26" spans="1:12" ht="5.0999999999999996" customHeight="1" x14ac:dyDescent="0.25">
      <c r="A26" s="273"/>
      <c r="B26" s="182"/>
      <c r="C26" s="203"/>
      <c r="D26" s="203"/>
      <c r="E26" s="204"/>
      <c r="F26" s="205"/>
      <c r="G26" s="203"/>
      <c r="H26" s="202"/>
      <c r="I26" s="205"/>
      <c r="J26" s="203"/>
      <c r="K26" s="204"/>
      <c r="L26" s="369"/>
    </row>
    <row r="27" spans="1:12" ht="17.25" customHeight="1" x14ac:dyDescent="0.25">
      <c r="A27" s="249" t="s">
        <v>1556</v>
      </c>
      <c r="B27" s="182"/>
      <c r="C27" s="218">
        <f>SUM(C28:C41)</f>
        <v>0</v>
      </c>
      <c r="D27" s="218">
        <f t="shared" ref="D27:K27" si="6">SUM(D28:D41)</f>
        <v>259527</v>
      </c>
      <c r="E27" s="219">
        <f t="shared" si="6"/>
        <v>0</v>
      </c>
      <c r="F27" s="220">
        <f t="shared" si="6"/>
        <v>0</v>
      </c>
      <c r="G27" s="218">
        <f t="shared" si="6"/>
        <v>0</v>
      </c>
      <c r="H27" s="217">
        <f t="shared" si="6"/>
        <v>0</v>
      </c>
      <c r="I27" s="220">
        <f t="shared" si="6"/>
        <v>0</v>
      </c>
      <c r="J27" s="218">
        <f t="shared" si="6"/>
        <v>0</v>
      </c>
      <c r="K27" s="219">
        <f t="shared" si="6"/>
        <v>0</v>
      </c>
      <c r="L27" s="369"/>
    </row>
    <row r="28" spans="1:12" ht="11.25" customHeight="1" x14ac:dyDescent="0.25">
      <c r="A28" s="250" t="s">
        <v>2</v>
      </c>
      <c r="B28" s="182"/>
      <c r="C28" s="1611"/>
      <c r="D28" s="1611"/>
      <c r="E28" s="1889"/>
      <c r="F28" s="1959"/>
      <c r="G28" s="1611"/>
      <c r="H28" s="1979"/>
      <c r="I28" s="1959"/>
      <c r="J28" s="1611"/>
      <c r="K28" s="1889"/>
      <c r="L28" s="1552"/>
    </row>
    <row r="29" spans="1:12" ht="11.25" customHeight="1" x14ac:dyDescent="0.25">
      <c r="A29" s="250" t="s">
        <v>1576</v>
      </c>
      <c r="B29" s="182"/>
      <c r="C29" s="1606"/>
      <c r="D29" s="1606">
        <v>259527</v>
      </c>
      <c r="E29" s="1628"/>
      <c r="F29" s="1629"/>
      <c r="G29" s="1606"/>
      <c r="H29" s="1630"/>
      <c r="I29" s="1629"/>
      <c r="J29" s="1606"/>
      <c r="K29" s="1628"/>
      <c r="L29" s="1552"/>
    </row>
    <row r="30" spans="1:12" ht="11.25" customHeight="1" x14ac:dyDescent="0.25">
      <c r="A30" s="250" t="s">
        <v>503</v>
      </c>
      <c r="B30" s="182"/>
      <c r="C30" s="1606"/>
      <c r="D30" s="1606"/>
      <c r="E30" s="1628"/>
      <c r="F30" s="1629"/>
      <c r="G30" s="1606"/>
      <c r="H30" s="1630"/>
      <c r="I30" s="1629"/>
      <c r="J30" s="1606"/>
      <c r="K30" s="1628"/>
      <c r="L30" s="1552"/>
    </row>
    <row r="31" spans="1:12" ht="11.25" customHeight="1" x14ac:dyDescent="0.25">
      <c r="A31" s="250" t="s">
        <v>1</v>
      </c>
      <c r="B31" s="182"/>
      <c r="C31" s="1606"/>
      <c r="D31" s="1606"/>
      <c r="E31" s="1628"/>
      <c r="F31" s="1629"/>
      <c r="G31" s="1606"/>
      <c r="H31" s="1630"/>
      <c r="I31" s="1629"/>
      <c r="J31" s="1606"/>
      <c r="K31" s="1628"/>
      <c r="L31" s="1552"/>
    </row>
    <row r="32" spans="1:12" ht="11.25" customHeight="1" x14ac:dyDescent="0.25">
      <c r="A32" s="250" t="s">
        <v>339</v>
      </c>
      <c r="B32" s="182"/>
      <c r="C32" s="1606"/>
      <c r="D32" s="1606"/>
      <c r="E32" s="1628"/>
      <c r="F32" s="1629"/>
      <c r="G32" s="1606"/>
      <c r="H32" s="1630"/>
      <c r="I32" s="1629"/>
      <c r="J32" s="1606"/>
      <c r="K32" s="1628"/>
      <c r="L32" s="1552"/>
    </row>
    <row r="33" spans="1:15" ht="11.25" customHeight="1" x14ac:dyDescent="0.25">
      <c r="A33" s="250" t="s">
        <v>0</v>
      </c>
      <c r="B33" s="182"/>
      <c r="C33" s="1606"/>
      <c r="D33" s="1606"/>
      <c r="E33" s="1628"/>
      <c r="F33" s="1629"/>
      <c r="G33" s="1606"/>
      <c r="H33" s="1630"/>
      <c r="I33" s="1629"/>
      <c r="J33" s="1606"/>
      <c r="K33" s="1628"/>
      <c r="L33" s="1552"/>
    </row>
    <row r="34" spans="1:15" ht="11.25" customHeight="1" x14ac:dyDescent="0.25">
      <c r="A34" s="250" t="s">
        <v>1577</v>
      </c>
      <c r="B34" s="182"/>
      <c r="C34" s="1606"/>
      <c r="D34" s="1606"/>
      <c r="E34" s="1628"/>
      <c r="F34" s="1629"/>
      <c r="G34" s="1606"/>
      <c r="H34" s="1630"/>
      <c r="I34" s="1629"/>
      <c r="J34" s="1606"/>
      <c r="K34" s="1628"/>
      <c r="L34" s="1552"/>
    </row>
    <row r="35" spans="1:15" ht="11.25" customHeight="1" x14ac:dyDescent="0.25">
      <c r="A35" s="250" t="s">
        <v>954</v>
      </c>
      <c r="B35" s="182"/>
      <c r="C35" s="1606"/>
      <c r="D35" s="1606"/>
      <c r="E35" s="1628"/>
      <c r="F35" s="1629"/>
      <c r="G35" s="1606"/>
      <c r="H35" s="1630"/>
      <c r="I35" s="1629"/>
      <c r="J35" s="1606"/>
      <c r="K35" s="1628"/>
      <c r="L35" s="1552"/>
    </row>
    <row r="36" spans="1:15" ht="11.25" customHeight="1" x14ac:dyDescent="0.25">
      <c r="A36" s="250" t="s">
        <v>1512</v>
      </c>
      <c r="B36" s="182">
        <v>7</v>
      </c>
      <c r="C36" s="1606"/>
      <c r="D36" s="1606"/>
      <c r="E36" s="1628"/>
      <c r="F36" s="1629"/>
      <c r="G36" s="1606"/>
      <c r="H36" s="1630"/>
      <c r="I36" s="1629"/>
      <c r="J36" s="1606"/>
      <c r="K36" s="1628"/>
      <c r="L36" s="1552"/>
    </row>
    <row r="37" spans="1:15" ht="11.25" customHeight="1" x14ac:dyDescent="0.25">
      <c r="A37" s="250" t="s">
        <v>1273</v>
      </c>
      <c r="B37" s="182"/>
      <c r="C37" s="1606"/>
      <c r="D37" s="1606"/>
      <c r="E37" s="1628"/>
      <c r="F37" s="1629"/>
      <c r="G37" s="1606"/>
      <c r="H37" s="1630"/>
      <c r="I37" s="1629"/>
      <c r="J37" s="1606"/>
      <c r="K37" s="1628"/>
      <c r="L37" s="1552"/>
      <c r="O37" s="369"/>
    </row>
    <row r="38" spans="1:15" ht="11.25" customHeight="1" x14ac:dyDescent="0.25">
      <c r="A38" s="250" t="s">
        <v>719</v>
      </c>
      <c r="B38" s="182"/>
      <c r="C38" s="1606"/>
      <c r="D38" s="1606"/>
      <c r="E38" s="1628"/>
      <c r="F38" s="1629"/>
      <c r="G38" s="1606"/>
      <c r="H38" s="1630"/>
      <c r="I38" s="1629"/>
      <c r="J38" s="1606"/>
      <c r="K38" s="1628"/>
      <c r="L38" s="1552"/>
    </row>
    <row r="39" spans="1:15" ht="11.25" customHeight="1" x14ac:dyDescent="0.25">
      <c r="A39" s="250" t="s">
        <v>501</v>
      </c>
      <c r="B39" s="182"/>
      <c r="C39" s="1606"/>
      <c r="D39" s="1606"/>
      <c r="E39" s="1628"/>
      <c r="F39" s="1629"/>
      <c r="G39" s="1606"/>
      <c r="H39" s="1630"/>
      <c r="I39" s="1629"/>
      <c r="J39" s="1606"/>
      <c r="K39" s="1628"/>
      <c r="L39" s="1552"/>
    </row>
    <row r="40" spans="1:15" ht="11.25" customHeight="1" x14ac:dyDescent="0.25">
      <c r="A40" s="250" t="s">
        <v>31</v>
      </c>
      <c r="B40" s="182">
        <v>8</v>
      </c>
      <c r="C40" s="1606"/>
      <c r="D40" s="1606"/>
      <c r="E40" s="1628"/>
      <c r="F40" s="1629"/>
      <c r="G40" s="1606"/>
      <c r="H40" s="1630"/>
      <c r="I40" s="1629"/>
      <c r="J40" s="1606"/>
      <c r="K40" s="1628"/>
      <c r="L40" s="369"/>
    </row>
    <row r="41" spans="1:15" ht="11.25" customHeight="1" x14ac:dyDescent="0.25">
      <c r="A41" s="250" t="s">
        <v>292</v>
      </c>
      <c r="B41" s="182"/>
      <c r="C41" s="1651"/>
      <c r="D41" s="1651"/>
      <c r="E41" s="1652"/>
      <c r="F41" s="1653"/>
      <c r="G41" s="1651"/>
      <c r="H41" s="1654"/>
      <c r="I41" s="1653"/>
      <c r="J41" s="1651">
        <f>I41*1.059</f>
        <v>0</v>
      </c>
      <c r="K41" s="1652">
        <f>J41*1.056</f>
        <v>0</v>
      </c>
      <c r="L41" s="1552"/>
    </row>
    <row r="42" spans="1:15" ht="5.0999999999999996" customHeight="1" x14ac:dyDescent="0.25">
      <c r="A42" s="273"/>
      <c r="B42" s="182"/>
      <c r="C42" s="203"/>
      <c r="D42" s="203"/>
      <c r="E42" s="204"/>
      <c r="F42" s="205"/>
      <c r="G42" s="203"/>
      <c r="H42" s="202"/>
      <c r="I42" s="205"/>
      <c r="J42" s="203"/>
      <c r="K42" s="204"/>
      <c r="L42" s="369"/>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69"/>
    </row>
    <row r="44" spans="1:15" ht="11.25" customHeight="1" x14ac:dyDescent="0.25">
      <c r="A44" s="250" t="s">
        <v>1245</v>
      </c>
      <c r="B44" s="182"/>
      <c r="C44" s="1616"/>
      <c r="D44" s="1616"/>
      <c r="E44" s="1980"/>
      <c r="F44" s="1981"/>
      <c r="G44" s="1616"/>
      <c r="H44" s="1982"/>
      <c r="I44" s="1981"/>
      <c r="J44" s="1616"/>
      <c r="K44" s="1980"/>
      <c r="L44" s="369"/>
    </row>
    <row r="45" spans="1:15" ht="11.25" customHeight="1" x14ac:dyDescent="0.25">
      <c r="A45" s="254" t="s">
        <v>292</v>
      </c>
      <c r="B45" s="182">
        <v>9</v>
      </c>
      <c r="C45" s="1646"/>
      <c r="D45" s="1646"/>
      <c r="E45" s="1983"/>
      <c r="F45" s="1984"/>
      <c r="G45" s="1646"/>
      <c r="H45" s="1985"/>
      <c r="I45" s="1984"/>
      <c r="J45" s="1646"/>
      <c r="K45" s="1983"/>
      <c r="L45" s="369"/>
    </row>
    <row r="46" spans="1:15" ht="5.0999999999999996" customHeight="1" x14ac:dyDescent="0.25">
      <c r="A46" s="273"/>
      <c r="B46" s="182"/>
      <c r="C46" s="203"/>
      <c r="D46" s="203"/>
      <c r="E46" s="204"/>
      <c r="F46" s="205"/>
      <c r="G46" s="203"/>
      <c r="H46" s="202"/>
      <c r="I46" s="205"/>
      <c r="J46" s="203"/>
      <c r="K46" s="204"/>
      <c r="L46" s="369"/>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69"/>
    </row>
    <row r="48" spans="1:15" ht="11.25" customHeight="1" x14ac:dyDescent="0.25">
      <c r="A48" s="250" t="s">
        <v>502</v>
      </c>
      <c r="B48" s="182"/>
      <c r="C48" s="1611"/>
      <c r="D48" s="1611"/>
      <c r="E48" s="1889"/>
      <c r="F48" s="1959"/>
      <c r="G48" s="1611"/>
      <c r="H48" s="1979"/>
      <c r="I48" s="1959"/>
      <c r="J48" s="1611"/>
      <c r="K48" s="1889"/>
      <c r="L48" s="1552"/>
    </row>
    <row r="49" spans="1:12" ht="11.25" customHeight="1" x14ac:dyDescent="0.25">
      <c r="A49" s="250" t="s">
        <v>292</v>
      </c>
      <c r="B49" s="182"/>
      <c r="C49" s="1651"/>
      <c r="D49" s="1651"/>
      <c r="E49" s="1652"/>
      <c r="F49" s="1653"/>
      <c r="G49" s="1651"/>
      <c r="H49" s="1654"/>
      <c r="I49" s="1653"/>
      <c r="J49" s="1651"/>
      <c r="K49" s="1652"/>
      <c r="L49" s="369"/>
    </row>
    <row r="50" spans="1:12" ht="5.0999999999999996" customHeight="1" x14ac:dyDescent="0.25">
      <c r="A50" s="273"/>
      <c r="B50" s="182"/>
      <c r="C50" s="203"/>
      <c r="D50" s="203"/>
      <c r="E50" s="204"/>
      <c r="F50" s="205"/>
      <c r="G50" s="203"/>
      <c r="H50" s="202"/>
      <c r="I50" s="205"/>
      <c r="J50" s="203"/>
      <c r="K50" s="204"/>
      <c r="L50" s="369"/>
    </row>
    <row r="51" spans="1:12" ht="17.25" customHeight="1" x14ac:dyDescent="0.25">
      <c r="A51" s="249" t="s">
        <v>959</v>
      </c>
      <c r="B51" s="182"/>
      <c r="C51" s="218">
        <f>SUM(C52:C63)</f>
        <v>0</v>
      </c>
      <c r="D51" s="218">
        <f t="shared" ref="D51:K51" si="9">SUM(D52:D63)</f>
        <v>1446565</v>
      </c>
      <c r="E51" s="219">
        <f t="shared" si="9"/>
        <v>15153722</v>
      </c>
      <c r="F51" s="220">
        <f t="shared" si="9"/>
        <v>0</v>
      </c>
      <c r="G51" s="218">
        <f t="shared" si="9"/>
        <v>90000</v>
      </c>
      <c r="H51" s="217">
        <f t="shared" si="9"/>
        <v>90000</v>
      </c>
      <c r="I51" s="220">
        <f t="shared" si="9"/>
        <v>90000</v>
      </c>
      <c r="J51" s="218">
        <f t="shared" si="9"/>
        <v>95310</v>
      </c>
      <c r="K51" s="219">
        <f t="shared" si="9"/>
        <v>100647.36</v>
      </c>
      <c r="L51" s="369"/>
    </row>
    <row r="52" spans="1:12" ht="11.25" customHeight="1" x14ac:dyDescent="0.25">
      <c r="A52" s="254" t="s">
        <v>628</v>
      </c>
      <c r="B52" s="182"/>
      <c r="C52" s="1611"/>
      <c r="D52" s="1611"/>
      <c r="E52" s="1889">
        <v>1586284</v>
      </c>
      <c r="F52" s="1959"/>
      <c r="G52" s="1611"/>
      <c r="H52" s="1979"/>
      <c r="I52" s="1959"/>
      <c r="J52" s="1611"/>
      <c r="K52" s="1889"/>
      <c r="L52" s="1552"/>
    </row>
    <row r="53" spans="1:12" ht="11.25" customHeight="1" x14ac:dyDescent="0.25">
      <c r="A53" s="254" t="s">
        <v>32</v>
      </c>
      <c r="B53" s="182">
        <v>10</v>
      </c>
      <c r="C53" s="1059">
        <f>C79</f>
        <v>0</v>
      </c>
      <c r="D53" s="1059">
        <f t="shared" ref="D53:K53" si="10">D79</f>
        <v>0</v>
      </c>
      <c r="E53" s="1060">
        <f t="shared" si="10"/>
        <v>0</v>
      </c>
      <c r="F53" s="1061">
        <f t="shared" si="10"/>
        <v>0</v>
      </c>
      <c r="G53" s="1059">
        <f t="shared" si="10"/>
        <v>0</v>
      </c>
      <c r="H53" s="1062">
        <f t="shared" si="10"/>
        <v>0</v>
      </c>
      <c r="I53" s="1061">
        <f t="shared" si="10"/>
        <v>0</v>
      </c>
      <c r="J53" s="1059">
        <f t="shared" si="10"/>
        <v>0</v>
      </c>
      <c r="K53" s="1060">
        <f t="shared" si="10"/>
        <v>0</v>
      </c>
      <c r="L53" s="369"/>
    </row>
    <row r="54" spans="1:12" ht="11.25" customHeight="1" x14ac:dyDescent="0.25">
      <c r="A54" s="254" t="s">
        <v>1233</v>
      </c>
      <c r="B54" s="182"/>
      <c r="C54" s="1606"/>
      <c r="D54" s="1606">
        <v>933024</v>
      </c>
      <c r="E54" s="1628">
        <v>12855940</v>
      </c>
      <c r="F54" s="1629"/>
      <c r="G54" s="1606"/>
      <c r="H54" s="1630"/>
      <c r="I54" s="1629"/>
      <c r="J54" s="1606"/>
      <c r="K54" s="1628"/>
      <c r="L54" s="1552"/>
    </row>
    <row r="55" spans="1:12" ht="11.25" customHeight="1" x14ac:dyDescent="0.25">
      <c r="A55" s="254" t="s">
        <v>629</v>
      </c>
      <c r="B55" s="182"/>
      <c r="C55" s="1606"/>
      <c r="D55" s="1606">
        <v>467</v>
      </c>
      <c r="E55" s="1628"/>
      <c r="F55" s="1629"/>
      <c r="G55" s="1606">
        <v>90000</v>
      </c>
      <c r="H55" s="1630">
        <v>90000</v>
      </c>
      <c r="I55" s="1629">
        <v>90000</v>
      </c>
      <c r="J55" s="1606">
        <f>I55*1.059</f>
        <v>95310</v>
      </c>
      <c r="K55" s="1628">
        <f>J55*1.056</f>
        <v>100647.36</v>
      </c>
      <c r="L55" s="1552"/>
    </row>
    <row r="56" spans="1:12" ht="11.25" customHeight="1" x14ac:dyDescent="0.25">
      <c r="A56" s="254" t="s">
        <v>630</v>
      </c>
      <c r="B56" s="182"/>
      <c r="C56" s="1606"/>
      <c r="D56" s="1606">
        <v>288484</v>
      </c>
      <c r="E56" s="1628">
        <v>152226</v>
      </c>
      <c r="F56" s="1629"/>
      <c r="G56" s="1606"/>
      <c r="H56" s="1630"/>
      <c r="I56" s="1629"/>
      <c r="J56" s="1606"/>
      <c r="K56" s="1628"/>
      <c r="L56" s="1552"/>
    </row>
    <row r="57" spans="1:12" ht="11.25" customHeight="1" x14ac:dyDescent="0.25">
      <c r="A57" s="254" t="s">
        <v>1234</v>
      </c>
      <c r="B57" s="182"/>
      <c r="C57" s="1606"/>
      <c r="D57" s="1606"/>
      <c r="E57" s="1628"/>
      <c r="F57" s="1629"/>
      <c r="G57" s="1606"/>
      <c r="H57" s="1630"/>
      <c r="I57" s="1629"/>
      <c r="J57" s="1606"/>
      <c r="K57" s="1628"/>
      <c r="L57" s="1552"/>
    </row>
    <row r="58" spans="1:12" ht="11.25" customHeight="1" x14ac:dyDescent="0.25">
      <c r="A58" s="254" t="s">
        <v>1235</v>
      </c>
      <c r="B58" s="182"/>
      <c r="C58" s="1606"/>
      <c r="D58" s="1606"/>
      <c r="E58" s="1628"/>
      <c r="F58" s="1629"/>
      <c r="G58" s="1606"/>
      <c r="H58" s="1630"/>
      <c r="I58" s="1629"/>
      <c r="J58" s="1606"/>
      <c r="K58" s="1628"/>
      <c r="L58" s="1551"/>
    </row>
    <row r="59" spans="1:12" ht="11.25" customHeight="1" x14ac:dyDescent="0.25">
      <c r="A59" s="254" t="s">
        <v>1510</v>
      </c>
      <c r="B59" s="182"/>
      <c r="C59" s="1606"/>
      <c r="D59" s="1606"/>
      <c r="E59" s="1628"/>
      <c r="F59" s="1629"/>
      <c r="G59" s="1606"/>
      <c r="H59" s="1630"/>
      <c r="I59" s="1629"/>
      <c r="J59" s="1606"/>
      <c r="K59" s="1628"/>
      <c r="L59" s="1552"/>
    </row>
    <row r="60" spans="1:12" ht="11.25" customHeight="1" x14ac:dyDescent="0.25">
      <c r="A60" s="254" t="s">
        <v>322</v>
      </c>
      <c r="B60" s="182"/>
      <c r="C60" s="1606"/>
      <c r="D60" s="1606"/>
      <c r="E60" s="1628"/>
      <c r="F60" s="1629"/>
      <c r="G60" s="1606"/>
      <c r="H60" s="1630"/>
      <c r="I60" s="1629"/>
      <c r="J60" s="1606"/>
      <c r="K60" s="1628"/>
      <c r="L60" s="1552"/>
    </row>
    <row r="61" spans="1:12" ht="11.25" customHeight="1" x14ac:dyDescent="0.25">
      <c r="A61" s="254" t="s">
        <v>321</v>
      </c>
      <c r="B61" s="182"/>
      <c r="C61" s="1606"/>
      <c r="D61" s="1606"/>
      <c r="E61" s="1628"/>
      <c r="F61" s="1629"/>
      <c r="G61" s="1606"/>
      <c r="H61" s="1630"/>
      <c r="I61" s="1629"/>
      <c r="J61" s="1606"/>
      <c r="K61" s="1628"/>
      <c r="L61" s="1552"/>
    </row>
    <row r="62" spans="1:12" ht="11.25" customHeight="1" x14ac:dyDescent="0.25">
      <c r="A62" s="254" t="s">
        <v>631</v>
      </c>
      <c r="B62" s="182"/>
      <c r="C62" s="1606"/>
      <c r="D62" s="1606"/>
      <c r="E62" s="1628"/>
      <c r="F62" s="1629"/>
      <c r="G62" s="1606"/>
      <c r="H62" s="1630"/>
      <c r="I62" s="1629"/>
      <c r="J62" s="1606"/>
      <c r="K62" s="1628"/>
      <c r="L62" s="1552"/>
    </row>
    <row r="63" spans="1:12" ht="11.25" customHeight="1" x14ac:dyDescent="0.25">
      <c r="A63" s="250" t="s">
        <v>292</v>
      </c>
      <c r="B63" s="182"/>
      <c r="C63" s="1651"/>
      <c r="D63" s="1651">
        <v>224590</v>
      </c>
      <c r="E63" s="1652">
        <v>559272</v>
      </c>
      <c r="F63" s="1653"/>
      <c r="G63" s="1651"/>
      <c r="H63" s="1654"/>
      <c r="I63" s="1653"/>
      <c r="J63" s="1651"/>
      <c r="K63" s="1652"/>
      <c r="L63" s="1552"/>
    </row>
    <row r="64" spans="1:12" ht="5.0999999999999996" customHeight="1" x14ac:dyDescent="0.25">
      <c r="A64" s="839"/>
      <c r="B64" s="182"/>
      <c r="C64" s="203"/>
      <c r="D64" s="203"/>
      <c r="E64" s="204"/>
      <c r="F64" s="205"/>
      <c r="G64" s="203"/>
      <c r="H64" s="202"/>
      <c r="I64" s="205"/>
      <c r="J64" s="203"/>
      <c r="K64" s="204"/>
      <c r="L64" s="369"/>
    </row>
    <row r="65" spans="1:12" ht="13.5" customHeight="1" x14ac:dyDescent="0.25">
      <c r="A65" s="249" t="s">
        <v>1525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69"/>
    </row>
    <row r="66" spans="1:12" ht="11.25" customHeight="1" x14ac:dyDescent="0.25">
      <c r="A66" s="1940" t="s">
        <v>1246</v>
      </c>
      <c r="B66" s="182"/>
      <c r="C66" s="1611"/>
      <c r="D66" s="1611"/>
      <c r="E66" s="1889"/>
      <c r="F66" s="1959"/>
      <c r="G66" s="1611"/>
      <c r="H66" s="1979"/>
      <c r="I66" s="1959"/>
      <c r="J66" s="1611"/>
      <c r="K66" s="1889"/>
      <c r="L66" s="369"/>
    </row>
    <row r="67" spans="1:12" ht="11.25" customHeight="1" x14ac:dyDescent="0.25">
      <c r="A67" s="1940"/>
      <c r="B67" s="182"/>
      <c r="C67" s="1651"/>
      <c r="D67" s="1651"/>
      <c r="E67" s="1652"/>
      <c r="F67" s="1653"/>
      <c r="G67" s="1651"/>
      <c r="H67" s="1654"/>
      <c r="I67" s="1653"/>
      <c r="J67" s="1651"/>
      <c r="K67" s="1652"/>
      <c r="L67" s="369"/>
    </row>
    <row r="68" spans="1:12" ht="5.0999999999999996" customHeight="1" x14ac:dyDescent="0.25">
      <c r="A68" s="839"/>
      <c r="B68" s="182"/>
      <c r="C68" s="203"/>
      <c r="D68" s="203"/>
      <c r="E68" s="204"/>
      <c r="F68" s="205"/>
      <c r="G68" s="203"/>
      <c r="H68" s="202"/>
      <c r="I68" s="205"/>
      <c r="J68" s="203"/>
      <c r="K68" s="204"/>
      <c r="L68" s="369"/>
    </row>
    <row r="69" spans="1:12" ht="13.5" customHeight="1" x14ac:dyDescent="0.25">
      <c r="A69" s="249" t="s">
        <v>136</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69"/>
    </row>
    <row r="70" spans="1:12" ht="11.25" customHeight="1" x14ac:dyDescent="0.25">
      <c r="A70" s="1940" t="s">
        <v>1246</v>
      </c>
      <c r="B70" s="182"/>
      <c r="C70" s="1611"/>
      <c r="D70" s="1611"/>
      <c r="E70" s="1889"/>
      <c r="F70" s="1959"/>
      <c r="G70" s="1611"/>
      <c r="H70" s="1979"/>
      <c r="I70" s="1959"/>
      <c r="J70" s="1611"/>
      <c r="K70" s="1889"/>
      <c r="L70" s="369"/>
    </row>
    <row r="71" spans="1:12" ht="11.25" customHeight="1" x14ac:dyDescent="0.25">
      <c r="A71" s="1940"/>
      <c r="B71" s="182"/>
      <c r="C71" s="1651"/>
      <c r="D71" s="1651"/>
      <c r="E71" s="1652"/>
      <c r="F71" s="1653"/>
      <c r="G71" s="1651"/>
      <c r="H71" s="1654"/>
      <c r="I71" s="1653"/>
      <c r="J71" s="1651"/>
      <c r="K71" s="1652"/>
      <c r="L71" s="369"/>
    </row>
    <row r="72" spans="1:12" ht="5.0999999999999996" customHeight="1" x14ac:dyDescent="0.25">
      <c r="A72" s="273"/>
      <c r="B72" s="182"/>
      <c r="C72" s="203"/>
      <c r="D72" s="203"/>
      <c r="E72" s="204"/>
      <c r="F72" s="205"/>
      <c r="G72" s="203"/>
      <c r="H72" s="202"/>
      <c r="I72" s="205"/>
      <c r="J72" s="203"/>
      <c r="K72" s="204"/>
      <c r="L72" s="369"/>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69"/>
    </row>
    <row r="74" spans="1:12" ht="11.25" customHeight="1" x14ac:dyDescent="0.25">
      <c r="A74" s="254" t="s">
        <v>965</v>
      </c>
      <c r="B74" s="182"/>
      <c r="C74" s="1611"/>
      <c r="D74" s="1611"/>
      <c r="E74" s="1889"/>
      <c r="F74" s="1959"/>
      <c r="G74" s="1611"/>
      <c r="H74" s="1979"/>
      <c r="I74" s="1959"/>
      <c r="J74" s="1611"/>
      <c r="K74" s="1889"/>
      <c r="L74" s="369"/>
    </row>
    <row r="75" spans="1:12" ht="11.25" customHeight="1" x14ac:dyDescent="0.25">
      <c r="A75" s="1914" t="s">
        <v>612</v>
      </c>
      <c r="B75" s="182"/>
      <c r="C75" s="1651"/>
      <c r="D75" s="1651"/>
      <c r="E75" s="1652"/>
      <c r="F75" s="1653"/>
      <c r="G75" s="1651"/>
      <c r="H75" s="1654"/>
      <c r="I75" s="1653"/>
      <c r="J75" s="1651"/>
      <c r="K75" s="1652"/>
      <c r="L75" s="369"/>
    </row>
    <row r="76" spans="1:12" ht="5.0999999999999996" customHeight="1" x14ac:dyDescent="0.25">
      <c r="A76" s="273"/>
      <c r="B76" s="182"/>
      <c r="C76" s="218"/>
      <c r="D76" s="218"/>
      <c r="E76" s="219"/>
      <c r="F76" s="220"/>
      <c r="G76" s="218"/>
      <c r="H76" s="217"/>
      <c r="I76" s="220"/>
      <c r="J76" s="218"/>
      <c r="K76" s="219"/>
      <c r="L76" s="369"/>
    </row>
    <row r="77" spans="1:12" x14ac:dyDescent="0.25">
      <c r="A77" s="281" t="s">
        <v>1223</v>
      </c>
      <c r="B77" s="225">
        <v>1</v>
      </c>
      <c r="C77" s="230">
        <f t="shared" ref="C77:K77" si="14">C6+C27+C43+C47+C51+C73+C65+C69</f>
        <v>44966000</v>
      </c>
      <c r="D77" s="230">
        <f t="shared" si="14"/>
        <v>16769034</v>
      </c>
      <c r="E77" s="228">
        <f t="shared" si="14"/>
        <v>113650291</v>
      </c>
      <c r="F77" s="229">
        <f t="shared" si="14"/>
        <v>110819751.63</v>
      </c>
      <c r="G77" s="230">
        <f t="shared" si="14"/>
        <v>111340502.90999998</v>
      </c>
      <c r="H77" s="231">
        <f t="shared" si="14"/>
        <v>111340502.90999998</v>
      </c>
      <c r="I77" s="229">
        <f t="shared" si="14"/>
        <v>116339135</v>
      </c>
      <c r="J77" s="230">
        <f t="shared" si="14"/>
        <v>123203143.96499999</v>
      </c>
      <c r="K77" s="228">
        <f t="shared" si="14"/>
        <v>130102520.02704</v>
      </c>
      <c r="L77" s="369"/>
    </row>
    <row r="78" spans="1:12" x14ac:dyDescent="0.25">
      <c r="A78" s="1554"/>
      <c r="B78" s="651"/>
      <c r="C78" s="217"/>
      <c r="D78" s="217"/>
      <c r="E78" s="217"/>
      <c r="F78" s="217"/>
      <c r="G78" s="217"/>
      <c r="H78" s="217"/>
      <c r="I78" s="217"/>
      <c r="J78" s="217"/>
      <c r="K78" s="217"/>
      <c r="L78" s="369"/>
    </row>
    <row r="79" spans="1:12" x14ac:dyDescent="0.25">
      <c r="A79" s="1555" t="s">
        <v>32</v>
      </c>
      <c r="B79" s="1556"/>
      <c r="C79" s="1297">
        <f t="shared" ref="C79:K79" si="15">SUM(C80:C83)</f>
        <v>0</v>
      </c>
      <c r="D79" s="1293">
        <f t="shared" si="15"/>
        <v>0</v>
      </c>
      <c r="E79" s="1557">
        <f t="shared" si="15"/>
        <v>0</v>
      </c>
      <c r="F79" s="1297">
        <f t="shared" si="15"/>
        <v>0</v>
      </c>
      <c r="G79" s="1293">
        <f t="shared" si="15"/>
        <v>0</v>
      </c>
      <c r="H79" s="1557">
        <f t="shared" si="15"/>
        <v>0</v>
      </c>
      <c r="I79" s="1297">
        <f t="shared" si="15"/>
        <v>0</v>
      </c>
      <c r="J79" s="1293">
        <f t="shared" si="15"/>
        <v>0</v>
      </c>
      <c r="K79" s="1557">
        <f t="shared" si="15"/>
        <v>0</v>
      </c>
      <c r="L79" s="369"/>
    </row>
    <row r="80" spans="1:12" x14ac:dyDescent="0.25">
      <c r="A80" s="190" t="s">
        <v>1279</v>
      </c>
      <c r="B80" s="1558"/>
      <c r="C80" s="1608"/>
      <c r="D80" s="1606"/>
      <c r="E80" s="1609"/>
      <c r="F80" s="1608"/>
      <c r="G80" s="1606"/>
      <c r="H80" s="1609"/>
      <c r="I80" s="1608"/>
      <c r="J80" s="1606"/>
      <c r="K80" s="1609"/>
      <c r="L80" s="369"/>
    </row>
    <row r="81" spans="1:12" x14ac:dyDescent="0.25">
      <c r="A81" s="190" t="s">
        <v>1511</v>
      </c>
      <c r="B81" s="1558"/>
      <c r="C81" s="1608"/>
      <c r="D81" s="1606"/>
      <c r="E81" s="1609"/>
      <c r="F81" s="1608"/>
      <c r="G81" s="1606"/>
      <c r="H81" s="1609"/>
      <c r="I81" s="1608"/>
      <c r="J81" s="1606"/>
      <c r="K81" s="1609"/>
      <c r="L81" s="369"/>
    </row>
    <row r="82" spans="1:12" x14ac:dyDescent="0.25">
      <c r="A82" s="190" t="s">
        <v>1707</v>
      </c>
      <c r="B82" s="1558"/>
      <c r="C82" s="1608"/>
      <c r="D82" s="1606"/>
      <c r="E82" s="1609"/>
      <c r="F82" s="1608"/>
      <c r="G82" s="1606"/>
      <c r="H82" s="1609"/>
      <c r="I82" s="1608"/>
      <c r="J82" s="1606"/>
      <c r="K82" s="1609"/>
      <c r="L82" s="369"/>
    </row>
    <row r="83" spans="1:12" x14ac:dyDescent="0.25">
      <c r="A83" s="1310" t="s">
        <v>1708</v>
      </c>
      <c r="B83" s="1559"/>
      <c r="C83" s="1697"/>
      <c r="D83" s="1693"/>
      <c r="E83" s="1986"/>
      <c r="F83" s="1697"/>
      <c r="G83" s="1693"/>
      <c r="H83" s="1986"/>
      <c r="I83" s="1697"/>
      <c r="J83" s="1693"/>
      <c r="K83" s="1986"/>
      <c r="L83" s="369"/>
    </row>
    <row r="84" spans="1:12" s="708" customFormat="1" x14ac:dyDescent="0.25">
      <c r="A84" s="1257" t="str">
        <f>head27a</f>
        <v>References</v>
      </c>
      <c r="B84" s="1033"/>
      <c r="C84" s="1037"/>
      <c r="D84" s="1037"/>
      <c r="E84" s="1037"/>
      <c r="F84" s="1037"/>
      <c r="G84" s="1037"/>
      <c r="H84" s="1037"/>
      <c r="I84" s="1037"/>
      <c r="J84" s="1037"/>
      <c r="K84" s="1037"/>
      <c r="L84" s="1553"/>
    </row>
    <row r="85" spans="1:12" s="708" customFormat="1" ht="11.25" customHeight="1" x14ac:dyDescent="0.25">
      <c r="A85" s="1258" t="s">
        <v>1224</v>
      </c>
      <c r="B85" s="1033"/>
      <c r="C85" s="1036"/>
      <c r="D85" s="1036"/>
      <c r="E85" s="1037"/>
      <c r="F85" s="1037"/>
      <c r="G85" s="1037"/>
      <c r="H85" s="1037"/>
      <c r="I85" s="1037"/>
      <c r="J85" s="1037"/>
      <c r="K85" s="1037"/>
    </row>
    <row r="86" spans="1:12" s="708" customFormat="1" ht="11.25" customHeight="1" x14ac:dyDescent="0.25">
      <c r="A86" s="1258" t="s">
        <v>319</v>
      </c>
      <c r="B86" s="1033"/>
      <c r="C86" s="1036"/>
      <c r="D86" s="1036"/>
      <c r="E86" s="1037"/>
      <c r="F86" s="1037"/>
      <c r="G86" s="1037"/>
      <c r="H86" s="1037"/>
      <c r="I86" s="1037"/>
      <c r="J86" s="1037"/>
      <c r="K86" s="1037"/>
    </row>
    <row r="87" spans="1:12" s="708" customFormat="1" ht="11.25" customHeight="1" x14ac:dyDescent="0.25">
      <c r="A87" s="1258" t="s">
        <v>907</v>
      </c>
      <c r="B87" s="1033"/>
      <c r="C87" s="1036"/>
      <c r="D87" s="1036"/>
      <c r="E87" s="1037"/>
      <c r="F87" s="1037"/>
      <c r="G87" s="1037"/>
      <c r="H87" s="1037"/>
      <c r="I87" s="1037"/>
      <c r="J87" s="1037"/>
      <c r="K87" s="1037"/>
    </row>
    <row r="88" spans="1:12" s="708" customFormat="1" ht="11.25" customHeight="1" x14ac:dyDescent="0.25">
      <c r="A88" s="1258" t="s">
        <v>323</v>
      </c>
      <c r="B88" s="1033"/>
      <c r="C88" s="1036"/>
      <c r="D88" s="1036"/>
      <c r="E88" s="1037"/>
      <c r="F88" s="1037"/>
      <c r="G88" s="1037"/>
      <c r="H88" s="1037"/>
      <c r="I88" s="1037"/>
      <c r="J88" s="1037"/>
      <c r="K88" s="1037"/>
    </row>
    <row r="89" spans="1:12" s="708" customFormat="1" ht="11.25" customHeight="1" x14ac:dyDescent="0.25">
      <c r="A89" s="1510" t="s">
        <v>133</v>
      </c>
      <c r="B89" s="1033"/>
      <c r="C89" s="1036"/>
      <c r="D89" s="1036"/>
      <c r="E89" s="1037"/>
      <c r="F89" s="1037"/>
      <c r="G89" s="1037"/>
      <c r="H89" s="1037"/>
      <c r="I89" s="1037"/>
      <c r="J89" s="1037"/>
      <c r="K89" s="1037"/>
    </row>
    <row r="90" spans="1:12" s="708" customFormat="1" ht="11.25" customHeight="1" x14ac:dyDescent="0.25">
      <c r="A90" s="1510" t="s">
        <v>1648</v>
      </c>
      <c r="B90" s="1033"/>
      <c r="C90" s="1036"/>
      <c r="D90" s="1036"/>
      <c r="E90" s="1037"/>
      <c r="F90" s="1037"/>
      <c r="G90" s="1037"/>
      <c r="H90" s="1037"/>
      <c r="I90" s="1037"/>
      <c r="J90" s="1037"/>
      <c r="K90" s="1037"/>
    </row>
    <row r="91" spans="1:12" s="708" customFormat="1" ht="11.25" customHeight="1" x14ac:dyDescent="0.25">
      <c r="A91" s="1510" t="s">
        <v>33</v>
      </c>
      <c r="B91" s="1033"/>
      <c r="C91" s="1036"/>
      <c r="D91" s="1036"/>
      <c r="E91" s="1037"/>
      <c r="F91" s="1037"/>
      <c r="G91" s="1037"/>
      <c r="H91" s="1037"/>
      <c r="I91" s="1037"/>
      <c r="J91" s="1037"/>
      <c r="K91" s="1037"/>
    </row>
    <row r="92" spans="1:12" s="708" customFormat="1" ht="11.25" customHeight="1" x14ac:dyDescent="0.25">
      <c r="A92" s="1510" t="s">
        <v>1323</v>
      </c>
      <c r="B92" s="1033"/>
      <c r="C92" s="1036"/>
      <c r="D92" s="1036"/>
      <c r="E92" s="1037"/>
      <c r="F92" s="1037"/>
      <c r="G92" s="1037"/>
      <c r="H92" s="1037"/>
      <c r="I92" s="1037"/>
      <c r="J92" s="1037"/>
      <c r="K92" s="1037"/>
    </row>
    <row r="93" spans="1:12" s="708" customFormat="1" ht="11.25" customHeight="1" x14ac:dyDescent="0.25">
      <c r="A93" s="1510" t="s">
        <v>1324</v>
      </c>
      <c r="B93" s="1033"/>
      <c r="C93" s="1036"/>
      <c r="D93" s="1036"/>
      <c r="E93" s="1037"/>
      <c r="F93" s="1037"/>
      <c r="G93" s="1037"/>
      <c r="H93" s="1037"/>
      <c r="I93" s="1037"/>
      <c r="J93" s="1037"/>
      <c r="K93" s="1037"/>
    </row>
    <row r="94" spans="1:12" s="708" customFormat="1" ht="11.25" customHeight="1" x14ac:dyDescent="0.25">
      <c r="A94" s="1510" t="s">
        <v>386</v>
      </c>
      <c r="B94" s="1033"/>
      <c r="C94" s="1036"/>
      <c r="D94" s="1036"/>
      <c r="E94" s="1037"/>
      <c r="F94" s="1037"/>
      <c r="G94" s="1037"/>
      <c r="H94" s="1037"/>
      <c r="I94" s="1037"/>
      <c r="J94" s="1037"/>
      <c r="K94" s="1037"/>
    </row>
    <row r="95" spans="1:12" s="708" customFormat="1" ht="11.25" customHeight="1" x14ac:dyDescent="0.25">
      <c r="A95" s="1055"/>
      <c r="B95" s="1033"/>
      <c r="C95" s="1036"/>
      <c r="D95" s="1036"/>
      <c r="E95" s="1037"/>
      <c r="F95" s="1037"/>
      <c r="G95" s="1037"/>
      <c r="H95" s="1037"/>
      <c r="I95" s="1037"/>
      <c r="J95" s="1037"/>
      <c r="K95" s="1037"/>
    </row>
    <row r="96" spans="1:12" ht="11.25" customHeight="1" x14ac:dyDescent="0.25">
      <c r="A96" s="246"/>
      <c r="B96" s="236"/>
      <c r="C96" s="240"/>
      <c r="D96" s="240"/>
      <c r="E96" s="241"/>
      <c r="F96" s="241"/>
      <c r="G96" s="241"/>
      <c r="H96" s="241"/>
      <c r="I96" s="241"/>
      <c r="J96" s="241"/>
      <c r="K96" s="241"/>
    </row>
    <row r="97" spans="1:11" ht="11.25" customHeight="1" x14ac:dyDescent="0.25">
      <c r="A97" s="288" t="s">
        <v>295</v>
      </c>
      <c r="B97" s="243"/>
      <c r="C97" s="446">
        <f>SUM(C77+SA34b!C77)-'A5-Capex'!C40</f>
        <v>0</v>
      </c>
      <c r="D97" s="446">
        <f>SUM(D77+SA34b!D77)-'A5-Capex'!D40</f>
        <v>-3.0000001192092896E-2</v>
      </c>
      <c r="E97" s="446">
        <f>SUM(E77+SA34b!E77)-'A5-Capex'!E40</f>
        <v>0</v>
      </c>
      <c r="F97" s="446">
        <f>SUM(F77+SA34b!F77)-'A5-Capex'!F40</f>
        <v>0</v>
      </c>
      <c r="G97" s="446">
        <f>SUM(G77+SA34b!G77)-'A5-Capex'!G40</f>
        <v>0</v>
      </c>
      <c r="H97" s="446">
        <f>SUM(H77+SA34b!H77)-'A5-Capex'!H40</f>
        <v>0</v>
      </c>
      <c r="I97" s="446">
        <f>SUM(I77+SA34b!I77)-'A5-Capex'!J40</f>
        <v>0</v>
      </c>
      <c r="J97" s="446">
        <f>SUM(J77+SA34b!J77)-'A5-Capex'!K40</f>
        <v>0</v>
      </c>
      <c r="K97" s="446">
        <f>SUM(K77+SA34b!K77)-'A5-Capex'!L40</f>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sheetProtection sheet="1" objects="1" scenarios="1"/>
  <customSheetViews>
    <customSheetView guid="{F50C5479-5CC4-4FD7-8319-543D29E829F0}" showGridLines="0" fitToPage="1">
      <pane xSplit="2" ySplit="3" topLeftCell="C75" activePane="bottomRight" state="frozen"/>
      <selection pane="bottomRight" activeCell="J91" sqref="J91"/>
      <pageMargins left="0" right="0" top="0.78740157480314965" bottom="0.59055118110236227" header="0.51181102362204722" footer="0.39370078740157483"/>
      <printOptions horizontalCentered="1"/>
      <pageSetup paperSize="9" scale="70" orientation="portrait" r:id="rId1"/>
      <headerFooter alignWithMargins="0"/>
    </customSheetView>
  </customSheetViews>
  <mergeCells count="2">
    <mergeCell ref="F2:H2"/>
    <mergeCell ref="I2:K2"/>
  </mergeCells>
  <phoneticPr fontId="2" type="noConversion"/>
  <printOptions horizontalCentered="1"/>
  <pageMargins left="0" right="0" top="0.78740157480314965" bottom="0.59055118110236227" header="0.51181102362204722" footer="0.39370078740157483"/>
  <pageSetup paperSize="9" scale="65" orientation="portrait" r:id="rId2"/>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indexed="42"/>
  </sheetPr>
  <dimension ref="A1:O133"/>
  <sheetViews>
    <sheetView showGridLines="0" zoomScaleNormal="100" workbookViewId="0">
      <pane xSplit="2" ySplit="3" topLeftCell="C4" activePane="bottomRight" state="frozen"/>
      <selection pane="topRight"/>
      <selection pane="bottomLeft"/>
      <selection pane="bottomRight" activeCell="I55" sqref="I55"/>
    </sheetView>
  </sheetViews>
  <sheetFormatPr defaultRowHeight="12.75" x14ac:dyDescent="0.25"/>
  <cols>
    <col min="1" max="1" width="31.570312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"&amp;TableA34b</f>
        <v>MP315 Thembisile Hani - Supporting Table SA34b Capital expenditure on the renewal of existing assets by asset class</v>
      </c>
      <c r="B1" s="147"/>
      <c r="C1" s="147"/>
      <c r="D1" s="147"/>
      <c r="E1" s="147"/>
      <c r="F1" s="147"/>
      <c r="G1" s="147"/>
      <c r="H1" s="147"/>
      <c r="I1" s="147"/>
      <c r="J1" s="147"/>
      <c r="K1" s="147"/>
    </row>
    <row r="2" spans="1:12"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67"/>
      <c r="I2" s="2763" t="str">
        <f>Head3</f>
        <v>2015/16 Medium Term Revenue &amp; Expenditure Framework</v>
      </c>
      <c r="J2" s="2764"/>
      <c r="K2" s="2765"/>
    </row>
    <row r="3" spans="1:12" ht="25.5" x14ac:dyDescent="0.25">
      <c r="A3" s="180" t="s">
        <v>662</v>
      </c>
      <c r="B3" s="981">
        <v>1</v>
      </c>
      <c r="C3" s="389" t="str">
        <f>Head5</f>
        <v>Audited Outcome</v>
      </c>
      <c r="D3" s="994" t="str">
        <f>Head5</f>
        <v>Audited Outcome</v>
      </c>
      <c r="E3" s="390" t="str">
        <f>Head5</f>
        <v>Audited Outcome</v>
      </c>
      <c r="F3" s="299" t="str">
        <f>Head6</f>
        <v>Original Budget</v>
      </c>
      <c r="G3" s="389" t="str">
        <f>Head7</f>
        <v>Adjusted Budget</v>
      </c>
      <c r="H3" s="388" t="str">
        <f>Head8</f>
        <v>Full Year Forecast</v>
      </c>
      <c r="I3" s="299" t="str">
        <f>Head9</f>
        <v>Budget Year 2015/16</v>
      </c>
      <c r="J3" s="389" t="str">
        <f>Head10</f>
        <v>Budget Year +1 2016/17</v>
      </c>
      <c r="K3" s="390" t="str">
        <f>Head11</f>
        <v>Budget Year +2 2017/18</v>
      </c>
    </row>
    <row r="4" spans="1:12" ht="11.25" customHeight="1" x14ac:dyDescent="0.25">
      <c r="A4" s="856" t="s">
        <v>1219</v>
      </c>
      <c r="B4" s="744"/>
      <c r="C4" s="1095"/>
      <c r="D4" s="311"/>
      <c r="E4" s="314"/>
      <c r="F4" s="313"/>
      <c r="G4" s="311"/>
      <c r="H4" s="312"/>
      <c r="I4" s="313"/>
      <c r="J4" s="311"/>
      <c r="K4" s="314"/>
    </row>
    <row r="5" spans="1:12" ht="5.0999999999999996" customHeight="1" x14ac:dyDescent="0.25">
      <c r="A5" s="249"/>
      <c r="B5" s="182"/>
      <c r="C5" s="315"/>
      <c r="D5" s="315"/>
      <c r="E5" s="318"/>
      <c r="F5" s="317"/>
      <c r="G5" s="315"/>
      <c r="H5" s="316"/>
      <c r="I5" s="317"/>
      <c r="J5" s="315"/>
      <c r="K5" s="318"/>
    </row>
    <row r="6" spans="1:12" ht="11.25" customHeight="1" x14ac:dyDescent="0.25">
      <c r="A6" s="249" t="s">
        <v>969</v>
      </c>
      <c r="B6" s="182"/>
      <c r="C6" s="393">
        <f>C7+C10+C14+C18+C21</f>
        <v>0</v>
      </c>
      <c r="D6" s="393">
        <f t="shared" ref="D6:K6" si="0">D7+D10+D14+D18+D21</f>
        <v>0</v>
      </c>
      <c r="E6" s="345">
        <f t="shared" si="0"/>
        <v>0</v>
      </c>
      <c r="F6" s="394">
        <f t="shared" si="0"/>
        <v>0</v>
      </c>
      <c r="G6" s="393">
        <f t="shared" si="0"/>
        <v>0</v>
      </c>
      <c r="H6" s="395">
        <f t="shared" si="0"/>
        <v>0</v>
      </c>
      <c r="I6" s="394">
        <f t="shared" si="0"/>
        <v>0</v>
      </c>
      <c r="J6" s="393">
        <f t="shared" si="0"/>
        <v>0</v>
      </c>
      <c r="K6" s="345">
        <f t="shared" si="0"/>
        <v>0</v>
      </c>
      <c r="L6" s="1551"/>
    </row>
    <row r="7" spans="1:12" s="1527" customFormat="1" ht="13.5" x14ac:dyDescent="0.25">
      <c r="A7" s="250" t="s">
        <v>533</v>
      </c>
      <c r="B7" s="182"/>
      <c r="C7" s="1106">
        <f>SUM(C8:C9)</f>
        <v>0</v>
      </c>
      <c r="D7" s="1106">
        <f t="shared" ref="D7:K7" si="1">SUM(D8:D9)</f>
        <v>0</v>
      </c>
      <c r="E7" s="1419">
        <f t="shared" si="1"/>
        <v>0</v>
      </c>
      <c r="F7" s="1107">
        <f t="shared" si="1"/>
        <v>0</v>
      </c>
      <c r="G7" s="1106">
        <f t="shared" si="1"/>
        <v>0</v>
      </c>
      <c r="H7" s="1143">
        <f t="shared" si="1"/>
        <v>0</v>
      </c>
      <c r="I7" s="1420">
        <f t="shared" si="1"/>
        <v>0</v>
      </c>
      <c r="J7" s="1106">
        <f t="shared" si="1"/>
        <v>0</v>
      </c>
      <c r="K7" s="1143">
        <f t="shared" si="1"/>
        <v>0</v>
      </c>
      <c r="L7" s="369"/>
    </row>
    <row r="8" spans="1:12" s="1527" customFormat="1" ht="13.5" x14ac:dyDescent="0.25">
      <c r="A8" s="1285" t="s">
        <v>534</v>
      </c>
      <c r="B8" s="182"/>
      <c r="C8" s="1606"/>
      <c r="D8" s="1606"/>
      <c r="E8" s="1628"/>
      <c r="F8" s="1629"/>
      <c r="G8" s="1606"/>
      <c r="H8" s="1630"/>
      <c r="I8" s="1629"/>
      <c r="J8" s="1606"/>
      <c r="K8" s="1628"/>
      <c r="L8" s="1551"/>
    </row>
    <row r="9" spans="1:12" s="1527" customFormat="1" ht="13.5" x14ac:dyDescent="0.25">
      <c r="A9" s="1285" t="s">
        <v>535</v>
      </c>
      <c r="B9" s="182"/>
      <c r="C9" s="1606"/>
      <c r="D9" s="1606"/>
      <c r="E9" s="1628"/>
      <c r="F9" s="1629"/>
      <c r="G9" s="1606"/>
      <c r="H9" s="1630"/>
      <c r="I9" s="1629"/>
      <c r="J9" s="1606"/>
      <c r="K9" s="1628"/>
      <c r="L9" s="1552"/>
    </row>
    <row r="10" spans="1:12" s="1527" customFormat="1" ht="13.5" x14ac:dyDescent="0.25">
      <c r="A10" s="250" t="s">
        <v>21</v>
      </c>
      <c r="B10" s="182"/>
      <c r="C10" s="1059">
        <f>SUM(C11:C13)</f>
        <v>0</v>
      </c>
      <c r="D10" s="1059">
        <f t="shared" ref="D10:K10" si="2">SUM(D11:D13)</f>
        <v>0</v>
      </c>
      <c r="E10" s="1421">
        <f t="shared" si="2"/>
        <v>0</v>
      </c>
      <c r="F10" s="1063">
        <f t="shared" si="2"/>
        <v>0</v>
      </c>
      <c r="G10" s="1059">
        <f t="shared" si="2"/>
        <v>0</v>
      </c>
      <c r="H10" s="1146">
        <f t="shared" si="2"/>
        <v>0</v>
      </c>
      <c r="I10" s="1422">
        <f t="shared" si="2"/>
        <v>0</v>
      </c>
      <c r="J10" s="1059">
        <f t="shared" si="2"/>
        <v>0</v>
      </c>
      <c r="K10" s="1146">
        <f t="shared" si="2"/>
        <v>0</v>
      </c>
      <c r="L10" s="1552"/>
    </row>
    <row r="11" spans="1:12" s="1527" customFormat="1" ht="13.5" x14ac:dyDescent="0.25">
      <c r="A11" s="1285" t="s">
        <v>22</v>
      </c>
      <c r="B11" s="182"/>
      <c r="C11" s="1606"/>
      <c r="D11" s="1606"/>
      <c r="E11" s="1607"/>
      <c r="F11" s="1608"/>
      <c r="G11" s="1606"/>
      <c r="H11" s="1609"/>
      <c r="I11" s="1610"/>
      <c r="J11" s="1606"/>
      <c r="K11" s="1609"/>
      <c r="L11" s="1552"/>
    </row>
    <row r="12" spans="1:12" s="1527" customFormat="1" ht="13.5" x14ac:dyDescent="0.25">
      <c r="A12" s="1285" t="s">
        <v>23</v>
      </c>
      <c r="B12" s="182"/>
      <c r="C12" s="1606"/>
      <c r="D12" s="1606"/>
      <c r="E12" s="1607"/>
      <c r="F12" s="1608"/>
      <c r="G12" s="1606"/>
      <c r="H12" s="1609"/>
      <c r="I12" s="1610"/>
      <c r="J12" s="1606"/>
      <c r="K12" s="1609"/>
      <c r="L12" s="1552"/>
    </row>
    <row r="13" spans="1:12" s="1527" customFormat="1" ht="13.5" x14ac:dyDescent="0.25">
      <c r="A13" s="1285" t="s">
        <v>137</v>
      </c>
      <c r="B13" s="182"/>
      <c r="C13" s="1606"/>
      <c r="D13" s="1606"/>
      <c r="E13" s="1607"/>
      <c r="F13" s="1608"/>
      <c r="G13" s="1606"/>
      <c r="H13" s="1609"/>
      <c r="I13" s="1610"/>
      <c r="J13" s="1606"/>
      <c r="K13" s="1609"/>
      <c r="L13" s="1552"/>
    </row>
    <row r="14" spans="1:12" s="1527" customFormat="1" ht="13.5" x14ac:dyDescent="0.25">
      <c r="A14" s="254" t="s">
        <v>24</v>
      </c>
      <c r="B14" s="350"/>
      <c r="C14" s="1059">
        <f>SUM(C15:C17)</f>
        <v>0</v>
      </c>
      <c r="D14" s="1059">
        <f t="shared" ref="D14:K14" si="3">SUM(D15:D17)</f>
        <v>0</v>
      </c>
      <c r="E14" s="1421">
        <f t="shared" si="3"/>
        <v>0</v>
      </c>
      <c r="F14" s="1063">
        <f t="shared" si="3"/>
        <v>0</v>
      </c>
      <c r="G14" s="1059">
        <f t="shared" si="3"/>
        <v>0</v>
      </c>
      <c r="H14" s="1146">
        <f t="shared" si="3"/>
        <v>0</v>
      </c>
      <c r="I14" s="1422">
        <f t="shared" si="3"/>
        <v>0</v>
      </c>
      <c r="J14" s="1059">
        <f t="shared" si="3"/>
        <v>0</v>
      </c>
      <c r="K14" s="1146">
        <f t="shared" si="3"/>
        <v>0</v>
      </c>
      <c r="L14" s="1552"/>
    </row>
    <row r="15" spans="1:12" s="1527" customFormat="1" ht="13.5" x14ac:dyDescent="0.25">
      <c r="A15" s="1285" t="s">
        <v>25</v>
      </c>
      <c r="B15" s="182"/>
      <c r="C15" s="1606"/>
      <c r="D15" s="1606"/>
      <c r="E15" s="1607"/>
      <c r="F15" s="1608"/>
      <c r="G15" s="1606"/>
      <c r="H15" s="1609"/>
      <c r="I15" s="1610"/>
      <c r="J15" s="1606"/>
      <c r="K15" s="1609"/>
      <c r="L15" s="1552"/>
    </row>
    <row r="16" spans="1:12" s="1527" customFormat="1" ht="13.5" x14ac:dyDescent="0.25">
      <c r="A16" s="1285" t="s">
        <v>26</v>
      </c>
      <c r="B16" s="182"/>
      <c r="C16" s="1606"/>
      <c r="D16" s="1606"/>
      <c r="E16" s="1607"/>
      <c r="F16" s="1608"/>
      <c r="G16" s="1606"/>
      <c r="H16" s="1609"/>
      <c r="I16" s="1610"/>
      <c r="J16" s="1606"/>
      <c r="K16" s="1609"/>
      <c r="L16" s="1552"/>
    </row>
    <row r="17" spans="1:12" s="1527" customFormat="1" ht="13.5" x14ac:dyDescent="0.25">
      <c r="A17" s="1285" t="s">
        <v>27</v>
      </c>
      <c r="B17" s="182"/>
      <c r="C17" s="1606"/>
      <c r="D17" s="1606"/>
      <c r="E17" s="1607"/>
      <c r="F17" s="1608"/>
      <c r="G17" s="1606"/>
      <c r="H17" s="1609"/>
      <c r="I17" s="1610"/>
      <c r="J17" s="1606"/>
      <c r="K17" s="1609"/>
      <c r="L17" s="1552"/>
    </row>
    <row r="18" spans="1:12" s="1527" customFormat="1" ht="13.5" x14ac:dyDescent="0.25">
      <c r="A18" s="254" t="s">
        <v>28</v>
      </c>
      <c r="B18" s="182"/>
      <c r="C18" s="1059">
        <f t="shared" ref="C18:K18" si="4">SUM(C19:C20)</f>
        <v>0</v>
      </c>
      <c r="D18" s="1059">
        <f t="shared" si="4"/>
        <v>0</v>
      </c>
      <c r="E18" s="1421">
        <f t="shared" si="4"/>
        <v>0</v>
      </c>
      <c r="F18" s="1063">
        <f t="shared" si="4"/>
        <v>0</v>
      </c>
      <c r="G18" s="1059">
        <f t="shared" si="4"/>
        <v>0</v>
      </c>
      <c r="H18" s="1146">
        <f t="shared" si="4"/>
        <v>0</v>
      </c>
      <c r="I18" s="1422">
        <f t="shared" si="4"/>
        <v>0</v>
      </c>
      <c r="J18" s="1059">
        <f t="shared" si="4"/>
        <v>0</v>
      </c>
      <c r="K18" s="1146">
        <f t="shared" si="4"/>
        <v>0</v>
      </c>
      <c r="L18" s="1552"/>
    </row>
    <row r="19" spans="1:12" s="1527" customFormat="1" ht="13.5" x14ac:dyDescent="0.25">
      <c r="A19" s="1285" t="s">
        <v>27</v>
      </c>
      <c r="B19" s="182"/>
      <c r="C19" s="1606"/>
      <c r="D19" s="1606"/>
      <c r="E19" s="1607"/>
      <c r="F19" s="1608"/>
      <c r="G19" s="1606"/>
      <c r="H19" s="1609"/>
      <c r="I19" s="1610"/>
      <c r="J19" s="1606"/>
      <c r="K19" s="1609"/>
      <c r="L19" s="1552"/>
    </row>
    <row r="20" spans="1:12" s="1527" customFormat="1" ht="13.5" x14ac:dyDescent="0.25">
      <c r="A20" s="1285" t="s">
        <v>29</v>
      </c>
      <c r="B20" s="182"/>
      <c r="C20" s="1606"/>
      <c r="D20" s="1606"/>
      <c r="E20" s="1607"/>
      <c r="F20" s="1608"/>
      <c r="G20" s="1606"/>
      <c r="H20" s="1609"/>
      <c r="I20" s="1610"/>
      <c r="J20" s="1606"/>
      <c r="K20" s="1609"/>
      <c r="L20" s="1552"/>
    </row>
    <row r="21" spans="1:12" s="1527" customFormat="1" ht="13.5" x14ac:dyDescent="0.25">
      <c r="A21" s="250" t="s">
        <v>30</v>
      </c>
      <c r="B21" s="182"/>
      <c r="C21" s="1059">
        <f>SUM(C22:C25)</f>
        <v>0</v>
      </c>
      <c r="D21" s="1059">
        <f t="shared" ref="D21:K21" si="5">SUM(D22:D25)</f>
        <v>0</v>
      </c>
      <c r="E21" s="1059">
        <f t="shared" si="5"/>
        <v>0</v>
      </c>
      <c r="F21" s="1063">
        <f t="shared" si="5"/>
        <v>0</v>
      </c>
      <c r="G21" s="1059">
        <f t="shared" si="5"/>
        <v>0</v>
      </c>
      <c r="H21" s="1146">
        <f t="shared" si="5"/>
        <v>0</v>
      </c>
      <c r="I21" s="1422">
        <f t="shared" si="5"/>
        <v>0</v>
      </c>
      <c r="J21" s="1059">
        <f t="shared" si="5"/>
        <v>0</v>
      </c>
      <c r="K21" s="1146">
        <f t="shared" si="5"/>
        <v>0</v>
      </c>
      <c r="L21" s="1552"/>
    </row>
    <row r="22" spans="1:12" s="1527" customFormat="1" ht="13.5" x14ac:dyDescent="0.25">
      <c r="A22" s="1285" t="s">
        <v>1078</v>
      </c>
      <c r="B22" s="182"/>
      <c r="C22" s="1606"/>
      <c r="D22" s="1606"/>
      <c r="E22" s="1630"/>
      <c r="F22" s="1629"/>
      <c r="G22" s="1606"/>
      <c r="H22" s="1630"/>
      <c r="I22" s="1629"/>
      <c r="J22" s="1606"/>
      <c r="K22" s="1609"/>
      <c r="L22" s="1551"/>
    </row>
    <row r="23" spans="1:12" s="1527" customFormat="1" ht="13.5" x14ac:dyDescent="0.25">
      <c r="A23" s="1285" t="s">
        <v>320</v>
      </c>
      <c r="B23" s="182">
        <v>2</v>
      </c>
      <c r="C23" s="1606"/>
      <c r="D23" s="1606"/>
      <c r="E23" s="1628"/>
      <c r="F23" s="1629"/>
      <c r="G23" s="1606"/>
      <c r="H23" s="1630"/>
      <c r="I23" s="1629"/>
      <c r="J23" s="1606"/>
      <c r="K23" s="1609"/>
      <c r="L23" s="1552"/>
    </row>
    <row r="24" spans="1:12" s="1527" customFormat="1" ht="13.5" x14ac:dyDescent="0.25">
      <c r="A24" s="1285" t="s">
        <v>138</v>
      </c>
      <c r="B24" s="182"/>
      <c r="C24" s="1606"/>
      <c r="D24" s="1606"/>
      <c r="E24" s="1628"/>
      <c r="F24" s="1629"/>
      <c r="G24" s="1606"/>
      <c r="H24" s="1630"/>
      <c r="I24" s="1629"/>
      <c r="J24" s="1606"/>
      <c r="K24" s="1628"/>
      <c r="L24" s="1552"/>
    </row>
    <row r="25" spans="1:12" s="1527" customFormat="1" ht="13.5" x14ac:dyDescent="0.25">
      <c r="A25" s="1285" t="s">
        <v>292</v>
      </c>
      <c r="B25" s="182">
        <v>3</v>
      </c>
      <c r="C25" s="1606"/>
      <c r="D25" s="1606"/>
      <c r="E25" s="1628"/>
      <c r="F25" s="1629"/>
      <c r="G25" s="1606"/>
      <c r="H25" s="1630"/>
      <c r="I25" s="1629"/>
      <c r="J25" s="1606"/>
      <c r="K25" s="1628"/>
      <c r="L25" s="1552"/>
    </row>
    <row r="26" spans="1:12" ht="5.0999999999999996" customHeight="1" x14ac:dyDescent="0.25">
      <c r="A26" s="273"/>
      <c r="B26" s="182"/>
      <c r="C26" s="203"/>
      <c r="D26" s="203"/>
      <c r="E26" s="204"/>
      <c r="F26" s="205"/>
      <c r="G26" s="203"/>
      <c r="H26" s="202"/>
      <c r="I26" s="205"/>
      <c r="J26" s="203"/>
      <c r="K26" s="204"/>
      <c r="L26" s="369"/>
    </row>
    <row r="27" spans="1:12" ht="17.25" customHeight="1" x14ac:dyDescent="0.25">
      <c r="A27" s="249" t="s">
        <v>1556</v>
      </c>
      <c r="B27" s="182"/>
      <c r="C27" s="218">
        <f>SUM(C28:C41)</f>
        <v>0</v>
      </c>
      <c r="D27" s="218">
        <f t="shared" ref="D27:K27" si="6">SUM(D28:D41)</f>
        <v>0</v>
      </c>
      <c r="E27" s="219">
        <f t="shared" si="6"/>
        <v>0</v>
      </c>
      <c r="F27" s="220">
        <f t="shared" si="6"/>
        <v>0</v>
      </c>
      <c r="G27" s="218">
        <f t="shared" si="6"/>
        <v>0</v>
      </c>
      <c r="H27" s="217">
        <f t="shared" si="6"/>
        <v>0</v>
      </c>
      <c r="I27" s="220">
        <f t="shared" si="6"/>
        <v>0</v>
      </c>
      <c r="J27" s="218">
        <f t="shared" si="6"/>
        <v>0</v>
      </c>
      <c r="K27" s="219">
        <f t="shared" si="6"/>
        <v>0</v>
      </c>
      <c r="L27" s="369"/>
    </row>
    <row r="28" spans="1:12" ht="11.25" customHeight="1" x14ac:dyDescent="0.25">
      <c r="A28" s="250" t="s">
        <v>2</v>
      </c>
      <c r="B28" s="182"/>
      <c r="C28" s="1611"/>
      <c r="D28" s="1611"/>
      <c r="E28" s="1889"/>
      <c r="F28" s="1959"/>
      <c r="G28" s="1611"/>
      <c r="H28" s="1979"/>
      <c r="I28" s="1959"/>
      <c r="J28" s="1611"/>
      <c r="K28" s="1889"/>
      <c r="L28" s="1552"/>
    </row>
    <row r="29" spans="1:12" ht="11.25" customHeight="1" x14ac:dyDescent="0.25">
      <c r="A29" s="250" t="s">
        <v>1576</v>
      </c>
      <c r="B29" s="182"/>
      <c r="C29" s="1606"/>
      <c r="D29" s="1606"/>
      <c r="E29" s="1628"/>
      <c r="F29" s="1629"/>
      <c r="G29" s="1606"/>
      <c r="H29" s="1630"/>
      <c r="I29" s="1629"/>
      <c r="J29" s="1606"/>
      <c r="K29" s="1628"/>
      <c r="L29" s="1552"/>
    </row>
    <row r="30" spans="1:12" ht="11.25" customHeight="1" x14ac:dyDescent="0.25">
      <c r="A30" s="250" t="s">
        <v>503</v>
      </c>
      <c r="B30" s="182"/>
      <c r="C30" s="1606"/>
      <c r="D30" s="1606"/>
      <c r="E30" s="1628"/>
      <c r="F30" s="1629"/>
      <c r="G30" s="1606"/>
      <c r="H30" s="1630"/>
      <c r="I30" s="1629"/>
      <c r="J30" s="1606"/>
      <c r="K30" s="1628"/>
      <c r="L30" s="1552"/>
    </row>
    <row r="31" spans="1:12" ht="11.25" customHeight="1" x14ac:dyDescent="0.25">
      <c r="A31" s="250" t="s">
        <v>1</v>
      </c>
      <c r="B31" s="182"/>
      <c r="C31" s="1606"/>
      <c r="D31" s="1606"/>
      <c r="E31" s="1628"/>
      <c r="F31" s="1629"/>
      <c r="G31" s="1606"/>
      <c r="H31" s="1630"/>
      <c r="I31" s="1629"/>
      <c r="J31" s="1606"/>
      <c r="K31" s="1628"/>
      <c r="L31" s="1552"/>
    </row>
    <row r="32" spans="1:12" ht="11.25" customHeight="1" x14ac:dyDescent="0.25">
      <c r="A32" s="250" t="s">
        <v>339</v>
      </c>
      <c r="B32" s="182"/>
      <c r="C32" s="1606"/>
      <c r="D32" s="1606"/>
      <c r="E32" s="1628"/>
      <c r="F32" s="1629"/>
      <c r="G32" s="1606"/>
      <c r="H32" s="1630"/>
      <c r="I32" s="1629"/>
      <c r="J32" s="1606"/>
      <c r="K32" s="1628"/>
      <c r="L32" s="1552"/>
    </row>
    <row r="33" spans="1:15" ht="11.25" customHeight="1" x14ac:dyDescent="0.25">
      <c r="A33" s="250" t="s">
        <v>0</v>
      </c>
      <c r="B33" s="182"/>
      <c r="C33" s="1606"/>
      <c r="D33" s="1606"/>
      <c r="E33" s="1628"/>
      <c r="F33" s="1629"/>
      <c r="G33" s="1606"/>
      <c r="H33" s="1630"/>
      <c r="I33" s="1629"/>
      <c r="J33" s="1606"/>
      <c r="K33" s="1628"/>
      <c r="L33" s="1552"/>
    </row>
    <row r="34" spans="1:15" ht="11.25" customHeight="1" x14ac:dyDescent="0.25">
      <c r="A34" s="250" t="s">
        <v>1577</v>
      </c>
      <c r="B34" s="182"/>
      <c r="C34" s="1606"/>
      <c r="D34" s="1606"/>
      <c r="E34" s="1628"/>
      <c r="F34" s="1629"/>
      <c r="G34" s="1606"/>
      <c r="H34" s="1630"/>
      <c r="I34" s="1629"/>
      <c r="J34" s="1606"/>
      <c r="K34" s="1628"/>
      <c r="L34" s="1552"/>
    </row>
    <row r="35" spans="1:15" ht="11.25" customHeight="1" x14ac:dyDescent="0.25">
      <c r="A35" s="250" t="s">
        <v>954</v>
      </c>
      <c r="B35" s="182"/>
      <c r="C35" s="1606"/>
      <c r="D35" s="1606"/>
      <c r="E35" s="1628"/>
      <c r="F35" s="1629"/>
      <c r="G35" s="1606"/>
      <c r="H35" s="1630"/>
      <c r="I35" s="1629"/>
      <c r="J35" s="1606"/>
      <c r="K35" s="1628"/>
      <c r="L35" s="1552"/>
    </row>
    <row r="36" spans="1:15" ht="11.25" customHeight="1" x14ac:dyDescent="0.25">
      <c r="A36" s="250" t="s">
        <v>1512</v>
      </c>
      <c r="B36" s="182">
        <v>7</v>
      </c>
      <c r="C36" s="1606"/>
      <c r="D36" s="1606"/>
      <c r="E36" s="1628"/>
      <c r="F36" s="1629"/>
      <c r="G36" s="1606"/>
      <c r="H36" s="1630"/>
      <c r="I36" s="1629"/>
      <c r="J36" s="1606"/>
      <c r="K36" s="1628"/>
      <c r="L36" s="1552"/>
    </row>
    <row r="37" spans="1:15" ht="11.25" customHeight="1" x14ac:dyDescent="0.25">
      <c r="A37" s="250" t="s">
        <v>1273</v>
      </c>
      <c r="B37" s="182"/>
      <c r="C37" s="1606"/>
      <c r="D37" s="1606"/>
      <c r="E37" s="1628"/>
      <c r="F37" s="1629"/>
      <c r="G37" s="1606"/>
      <c r="H37" s="1630"/>
      <c r="I37" s="1629"/>
      <c r="J37" s="1606"/>
      <c r="K37" s="1628"/>
      <c r="L37" s="1552"/>
      <c r="O37" s="369"/>
    </row>
    <row r="38" spans="1:15" ht="11.25" customHeight="1" x14ac:dyDescent="0.25">
      <c r="A38" s="250" t="s">
        <v>719</v>
      </c>
      <c r="B38" s="182"/>
      <c r="C38" s="1606"/>
      <c r="D38" s="1606"/>
      <c r="E38" s="1628"/>
      <c r="F38" s="1629"/>
      <c r="G38" s="1606"/>
      <c r="H38" s="1630"/>
      <c r="I38" s="1629"/>
      <c r="J38" s="1606"/>
      <c r="K38" s="1628"/>
      <c r="L38" s="1552"/>
    </row>
    <row r="39" spans="1:15" ht="11.25" customHeight="1" x14ac:dyDescent="0.25">
      <c r="A39" s="250" t="s">
        <v>501</v>
      </c>
      <c r="B39" s="182"/>
      <c r="C39" s="1606"/>
      <c r="D39" s="1606"/>
      <c r="E39" s="1628"/>
      <c r="F39" s="1629"/>
      <c r="G39" s="1606"/>
      <c r="H39" s="1630"/>
      <c r="I39" s="1629"/>
      <c r="J39" s="1606"/>
      <c r="K39" s="1628"/>
      <c r="L39" s="1552"/>
    </row>
    <row r="40" spans="1:15" ht="11.25" customHeight="1" x14ac:dyDescent="0.25">
      <c r="A40" s="250" t="s">
        <v>31</v>
      </c>
      <c r="B40" s="182">
        <v>8</v>
      </c>
      <c r="C40" s="1606"/>
      <c r="D40" s="1606"/>
      <c r="E40" s="1628"/>
      <c r="F40" s="1629"/>
      <c r="G40" s="1606"/>
      <c r="H40" s="1630"/>
      <c r="I40" s="1629"/>
      <c r="J40" s="1606"/>
      <c r="K40" s="1628"/>
      <c r="L40" s="369"/>
    </row>
    <row r="41" spans="1:15" ht="11.25" customHeight="1" x14ac:dyDescent="0.25">
      <c r="A41" s="250" t="s">
        <v>292</v>
      </c>
      <c r="B41" s="182"/>
      <c r="C41" s="1651"/>
      <c r="D41" s="1651"/>
      <c r="E41" s="1652"/>
      <c r="F41" s="1653"/>
      <c r="G41" s="1651"/>
      <c r="H41" s="1654"/>
      <c r="I41" s="1653"/>
      <c r="J41" s="1651"/>
      <c r="K41" s="1652"/>
      <c r="L41" s="1552"/>
    </row>
    <row r="42" spans="1:15" ht="5.0999999999999996" customHeight="1" x14ac:dyDescent="0.25">
      <c r="A42" s="273"/>
      <c r="B42" s="182"/>
      <c r="C42" s="203"/>
      <c r="D42" s="203"/>
      <c r="E42" s="204"/>
      <c r="F42" s="205"/>
      <c r="G42" s="203"/>
      <c r="H42" s="202"/>
      <c r="I42" s="205"/>
      <c r="J42" s="203"/>
      <c r="K42" s="204"/>
      <c r="L42" s="369"/>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69"/>
    </row>
    <row r="44" spans="1:15" ht="11.25" customHeight="1" x14ac:dyDescent="0.25">
      <c r="A44" s="250" t="s">
        <v>1245</v>
      </c>
      <c r="B44" s="182"/>
      <c r="C44" s="1616"/>
      <c r="D44" s="1616"/>
      <c r="E44" s="1980"/>
      <c r="F44" s="1981"/>
      <c r="G44" s="1616"/>
      <c r="H44" s="1982"/>
      <c r="I44" s="1981"/>
      <c r="J44" s="1616"/>
      <c r="K44" s="1980"/>
      <c r="L44" s="369"/>
    </row>
    <row r="45" spans="1:15" ht="11.25" customHeight="1" x14ac:dyDescent="0.25">
      <c r="A45" s="254" t="s">
        <v>292</v>
      </c>
      <c r="B45" s="182">
        <v>9</v>
      </c>
      <c r="C45" s="1646"/>
      <c r="D45" s="1646"/>
      <c r="E45" s="1983"/>
      <c r="F45" s="1984"/>
      <c r="G45" s="1646"/>
      <c r="H45" s="1985"/>
      <c r="I45" s="1984"/>
      <c r="J45" s="1646"/>
      <c r="K45" s="1983"/>
      <c r="L45" s="369"/>
    </row>
    <row r="46" spans="1:15" ht="5.0999999999999996" customHeight="1" x14ac:dyDescent="0.25">
      <c r="A46" s="812"/>
      <c r="B46" s="182"/>
      <c r="C46" s="203"/>
      <c r="D46" s="203"/>
      <c r="E46" s="204"/>
      <c r="F46" s="205"/>
      <c r="G46" s="203"/>
      <c r="H46" s="202"/>
      <c r="I46" s="205"/>
      <c r="J46" s="203"/>
      <c r="K46" s="204"/>
      <c r="L46" s="369"/>
    </row>
    <row r="47" spans="1:15" ht="17.25" customHeight="1" x14ac:dyDescent="0.25">
      <c r="A47" s="805"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69"/>
    </row>
    <row r="48" spans="1:15" ht="11.25" customHeight="1" x14ac:dyDescent="0.25">
      <c r="A48" s="254" t="s">
        <v>502</v>
      </c>
      <c r="B48" s="182"/>
      <c r="C48" s="1611"/>
      <c r="D48" s="1611"/>
      <c r="E48" s="1889"/>
      <c r="F48" s="1959"/>
      <c r="G48" s="1611"/>
      <c r="H48" s="1979"/>
      <c r="I48" s="1959"/>
      <c r="J48" s="1611"/>
      <c r="K48" s="1889"/>
      <c r="L48" s="1552"/>
    </row>
    <row r="49" spans="1:12" ht="11.25" customHeight="1" x14ac:dyDescent="0.25">
      <c r="A49" s="254" t="s">
        <v>292</v>
      </c>
      <c r="B49" s="182"/>
      <c r="C49" s="1651"/>
      <c r="D49" s="1651"/>
      <c r="E49" s="1652"/>
      <c r="F49" s="1653"/>
      <c r="G49" s="1651"/>
      <c r="H49" s="1654"/>
      <c r="I49" s="1653"/>
      <c r="J49" s="1651"/>
      <c r="K49" s="1652"/>
      <c r="L49" s="369"/>
    </row>
    <row r="50" spans="1:12" ht="5.0999999999999996" customHeight="1" x14ac:dyDescent="0.25">
      <c r="A50" s="812"/>
      <c r="B50" s="182"/>
      <c r="C50" s="203"/>
      <c r="D50" s="203"/>
      <c r="E50" s="204"/>
      <c r="F50" s="205"/>
      <c r="G50" s="203"/>
      <c r="H50" s="202"/>
      <c r="I50" s="205"/>
      <c r="J50" s="203"/>
      <c r="K50" s="204"/>
      <c r="L50" s="369"/>
    </row>
    <row r="51" spans="1:12" ht="17.25" customHeight="1" x14ac:dyDescent="0.25">
      <c r="A51" s="805" t="s">
        <v>959</v>
      </c>
      <c r="B51" s="182"/>
      <c r="C51" s="218">
        <f>SUM(C52:C63)</f>
        <v>0</v>
      </c>
      <c r="D51" s="218">
        <f t="shared" ref="D51:K51" si="9">SUM(D52:D63)</f>
        <v>0</v>
      </c>
      <c r="E51" s="219">
        <f t="shared" si="9"/>
        <v>0</v>
      </c>
      <c r="F51" s="220">
        <f t="shared" si="9"/>
        <v>0</v>
      </c>
      <c r="G51" s="218">
        <f t="shared" si="9"/>
        <v>0</v>
      </c>
      <c r="H51" s="217">
        <f t="shared" si="9"/>
        <v>0</v>
      </c>
      <c r="I51" s="220">
        <f t="shared" si="9"/>
        <v>0</v>
      </c>
      <c r="J51" s="218">
        <f t="shared" si="9"/>
        <v>0</v>
      </c>
      <c r="K51" s="219">
        <f t="shared" si="9"/>
        <v>0</v>
      </c>
      <c r="L51" s="369"/>
    </row>
    <row r="52" spans="1:12" ht="11.25" customHeight="1" x14ac:dyDescent="0.25">
      <c r="A52" s="254" t="s">
        <v>628</v>
      </c>
      <c r="B52" s="182"/>
      <c r="C52" s="1611"/>
      <c r="D52" s="1611"/>
      <c r="E52" s="1889"/>
      <c r="F52" s="1959"/>
      <c r="G52" s="1611"/>
      <c r="H52" s="1979"/>
      <c r="I52" s="1959"/>
      <c r="J52" s="1611"/>
      <c r="K52" s="1889"/>
      <c r="L52" s="1552"/>
    </row>
    <row r="53" spans="1:12" ht="11.25" customHeight="1" x14ac:dyDescent="0.25">
      <c r="A53" s="254" t="s">
        <v>32</v>
      </c>
      <c r="B53" s="182">
        <v>10</v>
      </c>
      <c r="C53" s="1059">
        <f>C79</f>
        <v>0</v>
      </c>
      <c r="D53" s="1059">
        <f t="shared" ref="D53:K53" si="10">D79</f>
        <v>0</v>
      </c>
      <c r="E53" s="1060">
        <f t="shared" si="10"/>
        <v>0</v>
      </c>
      <c r="F53" s="1061">
        <f t="shared" si="10"/>
        <v>0</v>
      </c>
      <c r="G53" s="1059">
        <f t="shared" si="10"/>
        <v>0</v>
      </c>
      <c r="H53" s="1062">
        <f t="shared" si="10"/>
        <v>0</v>
      </c>
      <c r="I53" s="1061">
        <f t="shared" si="10"/>
        <v>0</v>
      </c>
      <c r="J53" s="1059">
        <f t="shared" si="10"/>
        <v>0</v>
      </c>
      <c r="K53" s="1060">
        <f t="shared" si="10"/>
        <v>0</v>
      </c>
      <c r="L53" s="369"/>
    </row>
    <row r="54" spans="1:12" ht="11.25" customHeight="1" x14ac:dyDescent="0.25">
      <c r="A54" s="254" t="s">
        <v>1233</v>
      </c>
      <c r="B54" s="182"/>
      <c r="C54" s="1606"/>
      <c r="D54" s="1606"/>
      <c r="E54" s="1628"/>
      <c r="F54" s="1629"/>
      <c r="G54" s="1606"/>
      <c r="H54" s="1630"/>
      <c r="I54" s="1629"/>
      <c r="J54" s="1606"/>
      <c r="K54" s="1628"/>
      <c r="L54" s="1552"/>
    </row>
    <row r="55" spans="1:12" ht="11.25" customHeight="1" x14ac:dyDescent="0.25">
      <c r="A55" s="254" t="s">
        <v>629</v>
      </c>
      <c r="B55" s="182"/>
      <c r="C55" s="1606"/>
      <c r="D55" s="1606"/>
      <c r="E55" s="1628"/>
      <c r="F55" s="1629"/>
      <c r="G55" s="1606"/>
      <c r="H55" s="1630"/>
      <c r="I55" s="1629"/>
      <c r="J55" s="1606"/>
      <c r="K55" s="1628"/>
      <c r="L55" s="1552"/>
    </row>
    <row r="56" spans="1:12" ht="11.25" customHeight="1" x14ac:dyDescent="0.25">
      <c r="A56" s="254" t="s">
        <v>630</v>
      </c>
      <c r="B56" s="182"/>
      <c r="C56" s="1606"/>
      <c r="D56" s="1606"/>
      <c r="E56" s="1628"/>
      <c r="F56" s="1629"/>
      <c r="G56" s="1606"/>
      <c r="H56" s="1630"/>
      <c r="I56" s="1629"/>
      <c r="J56" s="1606"/>
      <c r="K56" s="1628"/>
      <c r="L56" s="1552"/>
    </row>
    <row r="57" spans="1:12" ht="11.25" customHeight="1" x14ac:dyDescent="0.25">
      <c r="A57" s="254" t="s">
        <v>1234</v>
      </c>
      <c r="B57" s="182"/>
      <c r="C57" s="1606"/>
      <c r="D57" s="1606"/>
      <c r="E57" s="1628"/>
      <c r="F57" s="1629"/>
      <c r="G57" s="1606"/>
      <c r="H57" s="1630"/>
      <c r="I57" s="1629"/>
      <c r="J57" s="1606"/>
      <c r="K57" s="1628"/>
      <c r="L57" s="1552"/>
    </row>
    <row r="58" spans="1:12" ht="11.25" customHeight="1" x14ac:dyDescent="0.25">
      <c r="A58" s="254" t="s">
        <v>1235</v>
      </c>
      <c r="B58" s="182"/>
      <c r="C58" s="1606"/>
      <c r="D58" s="1606"/>
      <c r="E58" s="1628"/>
      <c r="F58" s="1629"/>
      <c r="G58" s="1606"/>
      <c r="H58" s="1630"/>
      <c r="I58" s="1629"/>
      <c r="J58" s="1606"/>
      <c r="K58" s="1628"/>
      <c r="L58" s="1551"/>
    </row>
    <row r="59" spans="1:12" ht="11.25" customHeight="1" x14ac:dyDescent="0.25">
      <c r="A59" s="254" t="s">
        <v>1510</v>
      </c>
      <c r="B59" s="182"/>
      <c r="C59" s="1606"/>
      <c r="D59" s="1606"/>
      <c r="E59" s="1628"/>
      <c r="F59" s="1629"/>
      <c r="G59" s="1606"/>
      <c r="H59" s="1630"/>
      <c r="I59" s="1629"/>
      <c r="J59" s="1606"/>
      <c r="K59" s="1628"/>
      <c r="L59" s="1552"/>
    </row>
    <row r="60" spans="1:12" ht="11.25" customHeight="1" x14ac:dyDescent="0.25">
      <c r="A60" s="254" t="s">
        <v>322</v>
      </c>
      <c r="B60" s="182"/>
      <c r="C60" s="1606"/>
      <c r="D60" s="1606"/>
      <c r="E60" s="1628"/>
      <c r="F60" s="1629"/>
      <c r="G60" s="1606"/>
      <c r="H60" s="1630"/>
      <c r="I60" s="1629"/>
      <c r="J60" s="1606"/>
      <c r="K60" s="1628"/>
      <c r="L60" s="1552"/>
    </row>
    <row r="61" spans="1:12" ht="11.25" customHeight="1" x14ac:dyDescent="0.25">
      <c r="A61" s="254" t="s">
        <v>321</v>
      </c>
      <c r="B61" s="182"/>
      <c r="C61" s="1606"/>
      <c r="D61" s="1606"/>
      <c r="E61" s="1628"/>
      <c r="F61" s="1629"/>
      <c r="G61" s="1606"/>
      <c r="H61" s="1630"/>
      <c r="I61" s="1629"/>
      <c r="J61" s="1606"/>
      <c r="K61" s="1628"/>
      <c r="L61" s="1552"/>
    </row>
    <row r="62" spans="1:12" ht="11.25" customHeight="1" x14ac:dyDescent="0.25">
      <c r="A62" s="254" t="s">
        <v>631</v>
      </c>
      <c r="B62" s="182"/>
      <c r="C62" s="1606"/>
      <c r="D62" s="1606"/>
      <c r="E62" s="1628"/>
      <c r="F62" s="1629"/>
      <c r="G62" s="1606"/>
      <c r="H62" s="1630"/>
      <c r="I62" s="1629"/>
      <c r="J62" s="1606"/>
      <c r="K62" s="1628"/>
      <c r="L62" s="1552"/>
    </row>
    <row r="63" spans="1:12" ht="11.25" customHeight="1" x14ac:dyDescent="0.25">
      <c r="A63" s="250" t="s">
        <v>292</v>
      </c>
      <c r="B63" s="182"/>
      <c r="C63" s="1651"/>
      <c r="D63" s="1651"/>
      <c r="E63" s="1652"/>
      <c r="F63" s="1653"/>
      <c r="G63" s="1651"/>
      <c r="H63" s="1654"/>
      <c r="I63" s="1653"/>
      <c r="J63" s="1651"/>
      <c r="K63" s="1652"/>
      <c r="L63" s="1552"/>
    </row>
    <row r="64" spans="1:12" ht="5.0999999999999996" customHeight="1" x14ac:dyDescent="0.25">
      <c r="A64" s="839"/>
      <c r="B64" s="182"/>
      <c r="C64" s="203"/>
      <c r="D64" s="203"/>
      <c r="E64" s="204"/>
      <c r="F64" s="205"/>
      <c r="G64" s="203"/>
      <c r="H64" s="202"/>
      <c r="I64" s="205"/>
      <c r="J64" s="203"/>
      <c r="K64" s="204"/>
      <c r="L64" s="369"/>
    </row>
    <row r="65" spans="1:12" ht="13.5" customHeight="1" x14ac:dyDescent="0.25">
      <c r="A65" s="249" t="s">
        <v>1525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69"/>
    </row>
    <row r="66" spans="1:12" ht="11.25" customHeight="1" x14ac:dyDescent="0.25">
      <c r="A66" s="1940" t="s">
        <v>1246</v>
      </c>
      <c r="B66" s="182"/>
      <c r="C66" s="1611"/>
      <c r="D66" s="1611"/>
      <c r="E66" s="1889"/>
      <c r="F66" s="1959"/>
      <c r="G66" s="1611"/>
      <c r="H66" s="1979"/>
      <c r="I66" s="1959"/>
      <c r="J66" s="1611"/>
      <c r="K66" s="1889"/>
      <c r="L66" s="369"/>
    </row>
    <row r="67" spans="1:12" ht="11.25" customHeight="1" x14ac:dyDescent="0.25">
      <c r="A67" s="1940"/>
      <c r="B67" s="182"/>
      <c r="C67" s="1651"/>
      <c r="D67" s="1651"/>
      <c r="E67" s="1652"/>
      <c r="F67" s="1653"/>
      <c r="G67" s="1651"/>
      <c r="H67" s="1654"/>
      <c r="I67" s="1653"/>
      <c r="J67" s="1651"/>
      <c r="K67" s="1652"/>
      <c r="L67" s="369"/>
    </row>
    <row r="68" spans="1:12" ht="5.0999999999999996" customHeight="1" x14ac:dyDescent="0.25">
      <c r="A68" s="839"/>
      <c r="B68" s="182"/>
      <c r="C68" s="203"/>
      <c r="D68" s="203"/>
      <c r="E68" s="204"/>
      <c r="F68" s="205"/>
      <c r="G68" s="203"/>
      <c r="H68" s="202"/>
      <c r="I68" s="205"/>
      <c r="J68" s="203"/>
      <c r="K68" s="204"/>
      <c r="L68" s="369"/>
    </row>
    <row r="69" spans="1:12" ht="13.5" customHeight="1" x14ac:dyDescent="0.25">
      <c r="A69" s="249" t="s">
        <v>136</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69"/>
    </row>
    <row r="70" spans="1:12" ht="11.25" customHeight="1" x14ac:dyDescent="0.25">
      <c r="A70" s="1940" t="s">
        <v>1246</v>
      </c>
      <c r="B70" s="182"/>
      <c r="C70" s="1611"/>
      <c r="D70" s="1611"/>
      <c r="E70" s="1889"/>
      <c r="F70" s="1959"/>
      <c r="G70" s="1611"/>
      <c r="H70" s="1979"/>
      <c r="I70" s="1959"/>
      <c r="J70" s="1611"/>
      <c r="K70" s="1889"/>
      <c r="L70" s="369"/>
    </row>
    <row r="71" spans="1:12" ht="11.25" customHeight="1" x14ac:dyDescent="0.25">
      <c r="A71" s="1940"/>
      <c r="B71" s="182"/>
      <c r="C71" s="1651"/>
      <c r="D71" s="1651"/>
      <c r="E71" s="1652"/>
      <c r="F71" s="1653"/>
      <c r="G71" s="1651"/>
      <c r="H71" s="1654"/>
      <c r="I71" s="1653"/>
      <c r="J71" s="1651"/>
      <c r="K71" s="1652"/>
      <c r="L71" s="369"/>
    </row>
    <row r="72" spans="1:12" ht="5.0999999999999996" customHeight="1" x14ac:dyDescent="0.25">
      <c r="A72" s="273"/>
      <c r="B72" s="182"/>
      <c r="C72" s="203"/>
      <c r="D72" s="203"/>
      <c r="E72" s="204"/>
      <c r="F72" s="205"/>
      <c r="G72" s="203"/>
      <c r="H72" s="202"/>
      <c r="I72" s="205"/>
      <c r="J72" s="203"/>
      <c r="K72" s="204"/>
      <c r="L72" s="369"/>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69"/>
    </row>
    <row r="74" spans="1:12" ht="11.25" customHeight="1" x14ac:dyDescent="0.25">
      <c r="A74" s="254" t="s">
        <v>965</v>
      </c>
      <c r="B74" s="182"/>
      <c r="C74" s="1611"/>
      <c r="D74" s="1611"/>
      <c r="E74" s="1889"/>
      <c r="F74" s="1959"/>
      <c r="G74" s="1611"/>
      <c r="H74" s="1979"/>
      <c r="I74" s="1959"/>
      <c r="J74" s="1611"/>
      <c r="K74" s="1889"/>
      <c r="L74" s="369"/>
    </row>
    <row r="75" spans="1:12" ht="11.25" customHeight="1" x14ac:dyDescent="0.25">
      <c r="A75" s="1914" t="s">
        <v>612</v>
      </c>
      <c r="B75" s="182"/>
      <c r="C75" s="1651"/>
      <c r="D75" s="1651"/>
      <c r="E75" s="1652"/>
      <c r="F75" s="1653"/>
      <c r="G75" s="1651"/>
      <c r="H75" s="1654"/>
      <c r="I75" s="1653"/>
      <c r="J75" s="1651"/>
      <c r="K75" s="1652"/>
      <c r="L75" s="369"/>
    </row>
    <row r="76" spans="1:12" ht="5.0999999999999996" customHeight="1" x14ac:dyDescent="0.25">
      <c r="A76" s="273"/>
      <c r="B76" s="182"/>
      <c r="C76" s="218"/>
      <c r="D76" s="218"/>
      <c r="E76" s="219"/>
      <c r="F76" s="220"/>
      <c r="G76" s="218"/>
      <c r="H76" s="217"/>
      <c r="I76" s="220"/>
      <c r="J76" s="218"/>
      <c r="K76" s="219"/>
      <c r="L76" s="369"/>
    </row>
    <row r="77" spans="1:12" x14ac:dyDescent="0.25">
      <c r="A77" s="281" t="s">
        <v>1220</v>
      </c>
      <c r="B77" s="225">
        <v>1</v>
      </c>
      <c r="C77" s="230">
        <f t="shared" ref="C77:K77" si="14">C6+C27+C43+C47+C51+C73+C65+C69</f>
        <v>0</v>
      </c>
      <c r="D77" s="230">
        <f t="shared" si="14"/>
        <v>0</v>
      </c>
      <c r="E77" s="228">
        <f t="shared" si="14"/>
        <v>0</v>
      </c>
      <c r="F77" s="229">
        <f t="shared" si="14"/>
        <v>0</v>
      </c>
      <c r="G77" s="230">
        <f t="shared" si="14"/>
        <v>0</v>
      </c>
      <c r="H77" s="231">
        <f t="shared" si="14"/>
        <v>0</v>
      </c>
      <c r="I77" s="229">
        <f t="shared" si="14"/>
        <v>0</v>
      </c>
      <c r="J77" s="230">
        <f t="shared" si="14"/>
        <v>0</v>
      </c>
      <c r="K77" s="228">
        <f t="shared" si="14"/>
        <v>0</v>
      </c>
      <c r="L77" s="369"/>
    </row>
    <row r="78" spans="1:12" x14ac:dyDescent="0.25">
      <c r="A78" s="1554"/>
      <c r="B78" s="651"/>
      <c r="C78" s="217"/>
      <c r="D78" s="217"/>
      <c r="E78" s="217"/>
      <c r="F78" s="217"/>
      <c r="G78" s="217"/>
      <c r="H78" s="217"/>
      <c r="I78" s="217"/>
      <c r="J78" s="217"/>
      <c r="K78" s="217"/>
      <c r="L78" s="369"/>
    </row>
    <row r="79" spans="1:12" x14ac:dyDescent="0.25">
      <c r="A79" s="1555" t="s">
        <v>32</v>
      </c>
      <c r="B79" s="2445"/>
      <c r="C79" s="1297">
        <f t="shared" ref="C79:K79" si="15">SUM(C80:C83)</f>
        <v>0</v>
      </c>
      <c r="D79" s="1293">
        <f t="shared" si="15"/>
        <v>0</v>
      </c>
      <c r="E79" s="1557">
        <f t="shared" si="15"/>
        <v>0</v>
      </c>
      <c r="F79" s="1297">
        <f t="shared" si="15"/>
        <v>0</v>
      </c>
      <c r="G79" s="1293">
        <f t="shared" si="15"/>
        <v>0</v>
      </c>
      <c r="H79" s="1557">
        <f t="shared" si="15"/>
        <v>0</v>
      </c>
      <c r="I79" s="1297">
        <f t="shared" si="15"/>
        <v>0</v>
      </c>
      <c r="J79" s="1293">
        <f t="shared" si="15"/>
        <v>0</v>
      </c>
      <c r="K79" s="1557">
        <f t="shared" si="15"/>
        <v>0</v>
      </c>
      <c r="L79" s="369"/>
    </row>
    <row r="80" spans="1:12" x14ac:dyDescent="0.25">
      <c r="A80" s="190" t="s">
        <v>1279</v>
      </c>
      <c r="B80" s="2446"/>
      <c r="C80" s="1608"/>
      <c r="D80" s="1606"/>
      <c r="E80" s="1609"/>
      <c r="F80" s="1608"/>
      <c r="G80" s="1606"/>
      <c r="H80" s="1609"/>
      <c r="I80" s="1608"/>
      <c r="J80" s="1606"/>
      <c r="K80" s="1609"/>
      <c r="L80" s="369"/>
    </row>
    <row r="81" spans="1:12" x14ac:dyDescent="0.25">
      <c r="A81" s="190" t="s">
        <v>1511</v>
      </c>
      <c r="B81" s="2446"/>
      <c r="C81" s="1608"/>
      <c r="D81" s="1606"/>
      <c r="E81" s="1609"/>
      <c r="F81" s="1608"/>
      <c r="G81" s="1606"/>
      <c r="H81" s="1609"/>
      <c r="I81" s="1608"/>
      <c r="J81" s="1606"/>
      <c r="K81" s="1609"/>
      <c r="L81" s="369"/>
    </row>
    <row r="82" spans="1:12" x14ac:dyDescent="0.25">
      <c r="A82" s="190" t="s">
        <v>1707</v>
      </c>
      <c r="B82" s="2446"/>
      <c r="C82" s="1608"/>
      <c r="D82" s="1606"/>
      <c r="E82" s="1609"/>
      <c r="F82" s="1608"/>
      <c r="G82" s="1606"/>
      <c r="H82" s="1609"/>
      <c r="I82" s="1608"/>
      <c r="J82" s="1606"/>
      <c r="K82" s="1609"/>
      <c r="L82" s="369"/>
    </row>
    <row r="83" spans="1:12" x14ac:dyDescent="0.25">
      <c r="A83" s="1310" t="s">
        <v>1708</v>
      </c>
      <c r="B83" s="2447"/>
      <c r="C83" s="1697"/>
      <c r="D83" s="1693"/>
      <c r="E83" s="1986"/>
      <c r="F83" s="1697"/>
      <c r="G83" s="1693"/>
      <c r="H83" s="1986"/>
      <c r="I83" s="1697"/>
      <c r="J83" s="1693"/>
      <c r="K83" s="1986"/>
      <c r="L83" s="369"/>
    </row>
    <row r="84" spans="1:12" s="360" customFormat="1" ht="3.75" customHeight="1" x14ac:dyDescent="0.25">
      <c r="A84" s="325"/>
      <c r="B84" s="429"/>
      <c r="C84" s="1328"/>
      <c r="D84" s="1328"/>
      <c r="E84" s="1328"/>
      <c r="F84" s="1328"/>
      <c r="G84" s="1328"/>
      <c r="H84" s="1328"/>
      <c r="I84" s="1328"/>
      <c r="J84" s="1328"/>
      <c r="K84" s="1328"/>
    </row>
    <row r="85" spans="1:12" s="708" customFormat="1" x14ac:dyDescent="0.25">
      <c r="A85" s="2450" t="s">
        <v>1946</v>
      </c>
      <c r="B85" s="2451"/>
      <c r="C85" s="2452">
        <f>IF(ISERROR(C77/'A9-Asset'!C49),0,(C77/'A9-Asset'!C49))</f>
        <v>0</v>
      </c>
      <c r="D85" s="2452">
        <f>IF(ISERROR(D77/'A9-Asset'!D49),0,(D77/'A9-Asset'!D49))</f>
        <v>0</v>
      </c>
      <c r="E85" s="2453">
        <f>IF(ISERROR(E77/'A9-Asset'!E49),0,(E77/'A9-Asset'!E49))</f>
        <v>0</v>
      </c>
      <c r="F85" s="2454">
        <f>IF(ISERROR(F77/'A9-Asset'!F49),0,(F77/'A9-Asset'!F49))</f>
        <v>0</v>
      </c>
      <c r="G85" s="2452">
        <f>IF(ISERROR(G77/'A9-Asset'!G49),0,(G77/'A9-Asset'!G49))</f>
        <v>0</v>
      </c>
      <c r="H85" s="2455">
        <f>IF(ISERROR(H77/'A9-Asset'!H49),0,(H77/'A9-Asset'!H49))</f>
        <v>0</v>
      </c>
      <c r="I85" s="2456">
        <f>IF(ISERROR(I77/'A9-Asset'!I49),0,(I77/'A9-Asset'!I49))</f>
        <v>0</v>
      </c>
      <c r="J85" s="2452">
        <f>IF(ISERROR(J77/'A9-Asset'!J49),0,(J77/'A9-Asset'!J49))</f>
        <v>0</v>
      </c>
      <c r="K85" s="2453">
        <f>IF(ISERROR(K77/'A9-Asset'!K49),0,(K77/'A9-Asset'!K49))</f>
        <v>0</v>
      </c>
      <c r="L85" s="1553"/>
    </row>
    <row r="86" spans="1:12" s="708" customFormat="1" ht="11.25" customHeight="1" x14ac:dyDescent="0.25">
      <c r="A86" s="2438" t="s">
        <v>1420</v>
      </c>
      <c r="B86" s="2439"/>
      <c r="C86" s="2440">
        <f>IF(ISERROR(C77/'A9-Asset'!C68),0,(C77/'A9-Asset'!C68))</f>
        <v>0</v>
      </c>
      <c r="D86" s="2440">
        <f>IF(ISERROR(D77/'A9-Asset'!D68),0,(D77/'A9-Asset'!D68))</f>
        <v>0</v>
      </c>
      <c r="E86" s="2441">
        <f>IF(ISERROR(E77/'A9-Asset'!E68),0,(E77/'A9-Asset'!E68))</f>
        <v>0</v>
      </c>
      <c r="F86" s="2442">
        <f>IF(ISERROR(F77/'A9-Asset'!F68),0,(F77/'A9-Asset'!F68))</f>
        <v>0</v>
      </c>
      <c r="G86" s="2440">
        <f>IF(ISERROR(G77/'A9-Asset'!G68),0,(G77/'A9-Asset'!G68))</f>
        <v>0</v>
      </c>
      <c r="H86" s="2443">
        <f>IF(ISERROR(H77/'A9-Asset'!H68),0,(H77/'A9-Asset'!H68))</f>
        <v>0</v>
      </c>
      <c r="I86" s="2444">
        <f>IF(ISERROR(I77/'A9-Asset'!I68),0,(I77/'A9-Asset'!I68))</f>
        <v>0</v>
      </c>
      <c r="J86" s="2440">
        <f>IF(ISERROR(J77/'A9-Asset'!J68),0,(J77/'A9-Asset'!J68))</f>
        <v>0</v>
      </c>
      <c r="K86" s="2441">
        <f>IF(ISERROR(K77/'A9-Asset'!K68),0,(K77/'A9-Asset'!K68))</f>
        <v>0</v>
      </c>
      <c r="L86" s="1082"/>
    </row>
    <row r="87" spans="1:12" s="708" customFormat="1" ht="11.25" customHeight="1" x14ac:dyDescent="0.25">
      <c r="A87" s="1257" t="str">
        <f>head27a</f>
        <v>References</v>
      </c>
      <c r="B87" s="1033"/>
      <c r="C87" s="1037"/>
      <c r="D87" s="1037"/>
      <c r="E87" s="1037"/>
      <c r="F87" s="1037"/>
      <c r="G87" s="1037"/>
      <c r="H87" s="1037"/>
      <c r="I87" s="1037"/>
      <c r="J87" s="1037"/>
      <c r="K87" s="1037"/>
    </row>
    <row r="88" spans="1:12" s="708" customFormat="1" ht="11.25" customHeight="1" x14ac:dyDescent="0.25">
      <c r="A88" s="1258" t="s">
        <v>1221</v>
      </c>
      <c r="B88" s="1033"/>
      <c r="C88" s="1036"/>
      <c r="D88" s="1036"/>
      <c r="E88" s="1037"/>
      <c r="F88" s="1037"/>
      <c r="G88" s="1037"/>
      <c r="H88" s="1037"/>
      <c r="I88" s="1037"/>
      <c r="J88" s="1037"/>
      <c r="K88" s="1037"/>
    </row>
    <row r="89" spans="1:12" s="708" customFormat="1" ht="11.25" customHeight="1" x14ac:dyDescent="0.25">
      <c r="A89" s="1258" t="s">
        <v>319</v>
      </c>
      <c r="B89" s="1033"/>
      <c r="C89" s="1036"/>
      <c r="D89" s="1036"/>
      <c r="E89" s="1037"/>
      <c r="F89" s="1037"/>
      <c r="G89" s="1037"/>
      <c r="H89" s="1037"/>
      <c r="I89" s="1037"/>
      <c r="J89" s="1037"/>
      <c r="K89" s="1037"/>
    </row>
    <row r="90" spans="1:12" s="708" customFormat="1" ht="11.25" customHeight="1" x14ac:dyDescent="0.25">
      <c r="A90" s="1258" t="s">
        <v>907</v>
      </c>
      <c r="B90" s="1033"/>
      <c r="C90" s="1036"/>
      <c r="D90" s="1036"/>
      <c r="E90" s="1037"/>
      <c r="F90" s="1037"/>
      <c r="G90" s="1037"/>
      <c r="H90" s="1037"/>
      <c r="I90" s="1037"/>
      <c r="J90" s="1037"/>
      <c r="K90" s="1037"/>
    </row>
    <row r="91" spans="1:12" s="708" customFormat="1" ht="11.25" customHeight="1" x14ac:dyDescent="0.25">
      <c r="A91" s="1258" t="s">
        <v>323</v>
      </c>
      <c r="B91" s="1033"/>
      <c r="C91" s="1036"/>
      <c r="D91" s="1036"/>
      <c r="E91" s="1037"/>
      <c r="F91" s="1037"/>
      <c r="G91" s="1037"/>
      <c r="H91" s="1037"/>
      <c r="I91" s="1037"/>
      <c r="J91" s="1037"/>
      <c r="K91" s="1037"/>
    </row>
    <row r="92" spans="1:12" s="708" customFormat="1" ht="11.25" customHeight="1" x14ac:dyDescent="0.25">
      <c r="A92" s="1258" t="s">
        <v>133</v>
      </c>
      <c r="B92" s="1033"/>
      <c r="C92" s="1036"/>
      <c r="D92" s="1036"/>
      <c r="E92" s="1037"/>
      <c r="F92" s="1037"/>
      <c r="G92" s="1037"/>
      <c r="H92" s="1037"/>
      <c r="I92" s="1037"/>
      <c r="J92" s="1037"/>
      <c r="K92" s="1037"/>
    </row>
    <row r="93" spans="1:12" s="708" customFormat="1" ht="11.25" customHeight="1" x14ac:dyDescent="0.25">
      <c r="A93" s="1258" t="s">
        <v>1648</v>
      </c>
      <c r="B93" s="1033"/>
      <c r="C93" s="1036"/>
      <c r="D93" s="1036"/>
      <c r="E93" s="1037"/>
      <c r="F93" s="1037"/>
      <c r="G93" s="1037"/>
      <c r="H93" s="1037"/>
      <c r="I93" s="1037"/>
      <c r="J93" s="1037"/>
      <c r="K93" s="1037"/>
    </row>
    <row r="94" spans="1:12" s="708" customFormat="1" ht="11.25" customHeight="1" x14ac:dyDescent="0.25">
      <c r="A94" s="1510" t="s">
        <v>33</v>
      </c>
      <c r="B94" s="1033"/>
      <c r="C94" s="1036"/>
      <c r="D94" s="1036"/>
      <c r="E94" s="1037"/>
      <c r="F94" s="1037"/>
      <c r="G94" s="1037"/>
      <c r="H94" s="1037"/>
      <c r="I94" s="1037"/>
      <c r="J94" s="1037"/>
      <c r="K94" s="1037"/>
    </row>
    <row r="95" spans="1:12" s="708" customFormat="1" ht="11.25" customHeight="1" x14ac:dyDescent="0.25">
      <c r="A95" s="1510" t="s">
        <v>1323</v>
      </c>
      <c r="B95" s="1033"/>
      <c r="C95" s="1036"/>
      <c r="D95" s="1036"/>
      <c r="E95" s="1037"/>
      <c r="F95" s="1037"/>
      <c r="G95" s="1037"/>
      <c r="H95" s="1037"/>
      <c r="I95" s="1037"/>
      <c r="J95" s="1037"/>
      <c r="K95" s="1037"/>
    </row>
    <row r="96" spans="1:12" s="708" customFormat="1" ht="11.25" customHeight="1" x14ac:dyDescent="0.25">
      <c r="A96" s="1510" t="s">
        <v>1324</v>
      </c>
      <c r="B96" s="1033"/>
      <c r="C96" s="1036"/>
      <c r="D96" s="1036"/>
      <c r="E96" s="1037"/>
      <c r="F96" s="1037"/>
      <c r="G96" s="1037"/>
      <c r="H96" s="1037"/>
      <c r="I96" s="1037"/>
      <c r="J96" s="1037"/>
      <c r="K96" s="1037"/>
    </row>
    <row r="97" spans="1:11" ht="11.25" customHeight="1" x14ac:dyDescent="0.25">
      <c r="A97" s="1510" t="s">
        <v>386</v>
      </c>
      <c r="B97" s="1033"/>
      <c r="C97" s="1036"/>
      <c r="D97" s="1036"/>
      <c r="E97" s="1037"/>
      <c r="F97" s="1037"/>
      <c r="G97" s="1037"/>
      <c r="H97" s="1037"/>
      <c r="I97" s="1037"/>
      <c r="J97" s="1037"/>
      <c r="K97" s="1037"/>
    </row>
    <row r="98" spans="1:11" ht="11.25" customHeight="1" x14ac:dyDescent="0.25">
      <c r="A98" s="1055"/>
      <c r="B98" s="1033"/>
      <c r="C98" s="1036"/>
      <c r="D98" s="1036"/>
      <c r="E98" s="1037"/>
      <c r="F98" s="1037"/>
      <c r="G98" s="1037"/>
      <c r="H98" s="1037"/>
      <c r="I98" s="1037"/>
      <c r="J98" s="1037"/>
      <c r="K98" s="1037"/>
    </row>
    <row r="99" spans="1:11" ht="11.25" customHeight="1" x14ac:dyDescent="0.25">
      <c r="A99" s="246"/>
      <c r="B99" s="236"/>
      <c r="C99" s="240"/>
      <c r="D99" s="240"/>
      <c r="E99" s="241"/>
      <c r="F99" s="241"/>
      <c r="G99" s="241"/>
      <c r="H99" s="241"/>
      <c r="I99" s="241"/>
      <c r="J99" s="241"/>
      <c r="K99" s="241"/>
    </row>
    <row r="100" spans="1:11" ht="11.25" customHeight="1" x14ac:dyDescent="0.25">
      <c r="A100" s="288" t="s">
        <v>295</v>
      </c>
      <c r="B100" s="243"/>
      <c r="C100" s="446">
        <f>SUM(C77+SA34a!C77)-'A5-Capex'!C40</f>
        <v>0</v>
      </c>
      <c r="D100" s="446">
        <f>SUM(D77+SA34a!D77)-'A5-Capex'!D40</f>
        <v>-3.0000001192092896E-2</v>
      </c>
      <c r="E100" s="446">
        <f>SUM(E77+SA34a!E77)-'A5-Capex'!E40</f>
        <v>0</v>
      </c>
      <c r="F100" s="446">
        <f>SUM(F77+SA34a!F77)-'A5-Capex'!F40</f>
        <v>0</v>
      </c>
      <c r="G100" s="446">
        <f>SUM(G77+SA34a!G77)-'A5-Capex'!G40</f>
        <v>0</v>
      </c>
      <c r="H100" s="446">
        <f>SUM(H77+SA34a!H77)-'A5-Capex'!H40</f>
        <v>0</v>
      </c>
      <c r="I100" s="446">
        <f>SUM(I77+SA34a!I77)-'A5-Capex'!J40</f>
        <v>0</v>
      </c>
      <c r="J100" s="446">
        <f>SUM(J77+SA34a!J77)-'A5-Capex'!K40</f>
        <v>0</v>
      </c>
      <c r="K100" s="446">
        <f>SUM(K77+SA34a!K77)-'A5-Capex'!L40</f>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sheetProtection sheet="1" objects="1" scenarios="1"/>
  <customSheetViews>
    <customSheetView guid="{F50C5479-5CC4-4FD7-8319-543D29E829F0}" showGridLines="0">
      <pane xSplit="2" ySplit="3" topLeftCell="C64" activePane="bottomRight" state="frozen"/>
      <selection pane="bottomRight" activeCell="A88" sqref="A88:A97"/>
      <pageMargins left="0.75" right="0.75" top="1" bottom="1" header="0.5" footer="0.5"/>
      <pageSetup paperSize="9" orientation="portrait" verticalDpi="0" r:id="rId1"/>
      <headerFooter alignWithMargins="0"/>
    </customSheetView>
  </customSheetViews>
  <mergeCells count="2">
    <mergeCell ref="F2:H2"/>
    <mergeCell ref="I2:K2"/>
  </mergeCells>
  <phoneticPr fontId="2" type="noConversion"/>
  <pageMargins left="0.74803149606299213" right="0.74803149606299213" top="0.98425196850393704" bottom="0.98425196850393704" header="0.51181102362204722" footer="0.51181102362204722"/>
  <pageSetup paperSize="9" scale="70" orientation="portrait" verticalDpi="0"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2"/>
  </sheetPr>
  <dimension ref="A1:O135"/>
  <sheetViews>
    <sheetView showGridLines="0" zoomScaleNormal="100" workbookViewId="0">
      <pane xSplit="2" ySplit="3" topLeftCell="C4" activePane="bottomRight" state="frozen"/>
      <selection pane="topRight"/>
      <selection pane="bottomLeft"/>
      <selection pane="bottomRight" activeCell="A64" sqref="A63:A64"/>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"&amp;TableA34c</f>
        <v>MP315 Thembisile Hani - Supporting Table SA34c Repairs and maintenance expenditure by asset class</v>
      </c>
      <c r="B1" s="147"/>
      <c r="C1" s="147"/>
      <c r="D1" s="147"/>
      <c r="E1" s="147"/>
      <c r="F1" s="147"/>
      <c r="G1" s="147"/>
      <c r="H1" s="147"/>
      <c r="I1" s="147"/>
      <c r="J1" s="147"/>
      <c r="K1" s="147"/>
    </row>
    <row r="2" spans="1:12"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67"/>
      <c r="I2" s="2763" t="str">
        <f>Head3</f>
        <v>2015/16 Medium Term Revenue &amp; Expenditure Framework</v>
      </c>
      <c r="J2" s="2764"/>
      <c r="K2" s="2765"/>
    </row>
    <row r="3" spans="1:12" ht="25.5" x14ac:dyDescent="0.25">
      <c r="A3" s="180" t="s">
        <v>662</v>
      </c>
      <c r="B3" s="981">
        <v>1</v>
      </c>
      <c r="C3" s="389" t="str">
        <f>Head5</f>
        <v>Audited Outcome</v>
      </c>
      <c r="D3" s="994" t="str">
        <f>Head5</f>
        <v>Audited Outcome</v>
      </c>
      <c r="E3" s="390" t="str">
        <f>Head5</f>
        <v>Audited Outcome</v>
      </c>
      <c r="F3" s="299" t="str">
        <f>Head6</f>
        <v>Original Budget</v>
      </c>
      <c r="G3" s="389" t="str">
        <f>Head7</f>
        <v>Adjusted Budget</v>
      </c>
      <c r="H3" s="388" t="str">
        <f>Head8</f>
        <v>Full Year Forecast</v>
      </c>
      <c r="I3" s="299" t="str">
        <f>Head9</f>
        <v>Budget Year 2015/16</v>
      </c>
      <c r="J3" s="389" t="str">
        <f>Head10</f>
        <v>Budget Year +1 2016/17</v>
      </c>
      <c r="K3" s="390" t="str">
        <f>Head11</f>
        <v>Budget Year +2 2017/18</v>
      </c>
    </row>
    <row r="4" spans="1:12" ht="11.25" customHeight="1" x14ac:dyDescent="0.25">
      <c r="A4" s="856" t="s">
        <v>1216</v>
      </c>
      <c r="B4" s="744"/>
      <c r="C4" s="1095"/>
      <c r="D4" s="311"/>
      <c r="E4" s="314"/>
      <c r="F4" s="313"/>
      <c r="G4" s="311"/>
      <c r="H4" s="312"/>
      <c r="I4" s="313"/>
      <c r="J4" s="311"/>
      <c r="K4" s="314"/>
      <c r="L4" s="369"/>
    </row>
    <row r="5" spans="1:12" ht="5.0999999999999996" customHeight="1" x14ac:dyDescent="0.25">
      <c r="A5" s="249"/>
      <c r="B5" s="182"/>
      <c r="C5" s="315"/>
      <c r="D5" s="315"/>
      <c r="E5" s="318"/>
      <c r="F5" s="317"/>
      <c r="G5" s="315"/>
      <c r="H5" s="316"/>
      <c r="I5" s="317"/>
      <c r="J5" s="315"/>
      <c r="K5" s="318"/>
      <c r="L5" s="369"/>
    </row>
    <row r="6" spans="1:12" ht="11.25" customHeight="1" x14ac:dyDescent="0.25">
      <c r="A6" s="249" t="s">
        <v>969</v>
      </c>
      <c r="B6" s="182"/>
      <c r="C6" s="393">
        <f>C7+C10+C14+C18+C21</f>
        <v>0</v>
      </c>
      <c r="D6" s="393">
        <f t="shared" ref="D6:K6" si="0">D7+D10+D14+D18+D21</f>
        <v>22022880</v>
      </c>
      <c r="E6" s="345">
        <f t="shared" si="0"/>
        <v>18084258.879999999</v>
      </c>
      <c r="F6" s="394">
        <f t="shared" si="0"/>
        <v>16250000</v>
      </c>
      <c r="G6" s="393">
        <f t="shared" si="0"/>
        <v>12101130.4</v>
      </c>
      <c r="H6" s="395">
        <f t="shared" si="0"/>
        <v>12101130.4</v>
      </c>
      <c r="I6" s="394">
        <f t="shared" si="0"/>
        <v>16650000</v>
      </c>
      <c r="J6" s="393">
        <f t="shared" si="0"/>
        <v>17632350</v>
      </c>
      <c r="K6" s="345">
        <f t="shared" si="0"/>
        <v>18619761.599999998</v>
      </c>
      <c r="L6" s="1551"/>
    </row>
    <row r="7" spans="1:12" s="1527" customFormat="1" ht="13.5" x14ac:dyDescent="0.25">
      <c r="A7" s="250" t="s">
        <v>533</v>
      </c>
      <c r="B7" s="182"/>
      <c r="C7" s="1106">
        <f>SUM(C8:C9)</f>
        <v>0</v>
      </c>
      <c r="D7" s="1106">
        <f t="shared" ref="D7:K7" si="1">SUM(D8:D9)</f>
        <v>7033609</v>
      </c>
      <c r="E7" s="1419">
        <f t="shared" si="1"/>
        <v>1561551.03</v>
      </c>
      <c r="F7" s="1107">
        <f t="shared" si="1"/>
        <v>1700000</v>
      </c>
      <c r="G7" s="1106">
        <f t="shared" si="1"/>
        <v>0</v>
      </c>
      <c r="H7" s="1143">
        <f t="shared" si="1"/>
        <v>0</v>
      </c>
      <c r="I7" s="1420">
        <f t="shared" si="1"/>
        <v>600000</v>
      </c>
      <c r="J7" s="1106">
        <f t="shared" si="1"/>
        <v>635400</v>
      </c>
      <c r="K7" s="1143">
        <f t="shared" si="1"/>
        <v>670982.40000000002</v>
      </c>
      <c r="L7" s="369"/>
    </row>
    <row r="8" spans="1:12" s="1527" customFormat="1" ht="13.5" x14ac:dyDescent="0.25">
      <c r="A8" s="1285" t="s">
        <v>534</v>
      </c>
      <c r="B8" s="182"/>
      <c r="C8" s="1606"/>
      <c r="D8" s="1606">
        <v>7033609</v>
      </c>
      <c r="E8" s="1628">
        <v>1561551.03</v>
      </c>
      <c r="F8" s="1629">
        <v>1700000</v>
      </c>
      <c r="G8" s="1606">
        <v>0</v>
      </c>
      <c r="H8" s="1630">
        <v>0</v>
      </c>
      <c r="I8" s="1629">
        <f>[8]Sheet3!$I$210</f>
        <v>600000</v>
      </c>
      <c r="J8" s="1606">
        <f>I8*1.059</f>
        <v>635400</v>
      </c>
      <c r="K8" s="1628">
        <f>J8*1.056</f>
        <v>670982.40000000002</v>
      </c>
      <c r="L8" s="1551"/>
    </row>
    <row r="9" spans="1:12" s="1527" customFormat="1" ht="13.5" x14ac:dyDescent="0.25">
      <c r="A9" s="1285" t="s">
        <v>535</v>
      </c>
      <c r="B9" s="182"/>
      <c r="C9" s="1606"/>
      <c r="D9" s="1606"/>
      <c r="E9" s="1628"/>
      <c r="F9" s="1629"/>
      <c r="G9" s="1606"/>
      <c r="H9" s="1630"/>
      <c r="I9" s="1629"/>
      <c r="J9" s="1606"/>
      <c r="K9" s="1628"/>
      <c r="L9" s="1552"/>
    </row>
    <row r="10" spans="1:12" s="1527" customFormat="1" ht="13.5" x14ac:dyDescent="0.25">
      <c r="A10" s="250" t="s">
        <v>21</v>
      </c>
      <c r="B10" s="182"/>
      <c r="C10" s="1059">
        <f>SUM(C11:C13)</f>
        <v>0</v>
      </c>
      <c r="D10" s="1059">
        <f t="shared" ref="D10:K10" si="2">SUM(D11:D13)</f>
        <v>627746</v>
      </c>
      <c r="E10" s="1421">
        <f t="shared" si="2"/>
        <v>195172.68</v>
      </c>
      <c r="F10" s="1063">
        <f t="shared" si="2"/>
        <v>100000</v>
      </c>
      <c r="G10" s="1059">
        <f t="shared" si="2"/>
        <v>0</v>
      </c>
      <c r="H10" s="1146">
        <f t="shared" si="2"/>
        <v>0</v>
      </c>
      <c r="I10" s="1422">
        <f t="shared" si="2"/>
        <v>100000</v>
      </c>
      <c r="J10" s="1059">
        <f t="shared" si="2"/>
        <v>105900</v>
      </c>
      <c r="K10" s="1146">
        <f t="shared" si="2"/>
        <v>111830.40000000001</v>
      </c>
      <c r="L10" s="1552"/>
    </row>
    <row r="11" spans="1:12" s="1527" customFormat="1" ht="13.5" x14ac:dyDescent="0.25">
      <c r="A11" s="1285" t="s">
        <v>22</v>
      </c>
      <c r="B11" s="182"/>
      <c r="C11" s="1606"/>
      <c r="D11" s="1606"/>
      <c r="E11" s="1607"/>
      <c r="F11" s="1608"/>
      <c r="G11" s="1606"/>
      <c r="H11" s="1609"/>
      <c r="I11" s="1610"/>
      <c r="J11" s="1606"/>
      <c r="K11" s="1609"/>
      <c r="L11" s="1552"/>
    </row>
    <row r="12" spans="1:12" s="1527" customFormat="1" ht="13.5" x14ac:dyDescent="0.25">
      <c r="A12" s="1285" t="s">
        <v>23</v>
      </c>
      <c r="B12" s="182"/>
      <c r="C12" s="1606"/>
      <c r="D12" s="1606"/>
      <c r="E12" s="1607"/>
      <c r="F12" s="1608"/>
      <c r="G12" s="1606"/>
      <c r="H12" s="1609"/>
      <c r="I12" s="1610"/>
      <c r="J12" s="1606">
        <f>I12*1.059</f>
        <v>0</v>
      </c>
      <c r="K12" s="1609">
        <f>J12*1.056</f>
        <v>0</v>
      </c>
      <c r="L12" s="1552"/>
    </row>
    <row r="13" spans="1:12" s="1527" customFormat="1" ht="13.5" x14ac:dyDescent="0.25">
      <c r="A13" s="1285" t="s">
        <v>137</v>
      </c>
      <c r="B13" s="182"/>
      <c r="C13" s="1606"/>
      <c r="D13" s="1606">
        <v>627746</v>
      </c>
      <c r="E13" s="1607">
        <v>195172.68</v>
      </c>
      <c r="F13" s="1608">
        <v>100000</v>
      </c>
      <c r="G13" s="1606">
        <v>0</v>
      </c>
      <c r="H13" s="1609">
        <v>0</v>
      </c>
      <c r="I13" s="1610">
        <f>[8]Sheet3!$I$203</f>
        <v>100000</v>
      </c>
      <c r="J13" s="1606">
        <f>I13*1.059</f>
        <v>105900</v>
      </c>
      <c r="K13" s="1609">
        <f>J13*1.056</f>
        <v>111830.40000000001</v>
      </c>
      <c r="L13" s="1552"/>
    </row>
    <row r="14" spans="1:12" s="1527" customFormat="1" ht="13.5" x14ac:dyDescent="0.25">
      <c r="A14" s="254" t="s">
        <v>24</v>
      </c>
      <c r="B14" s="350"/>
      <c r="C14" s="1059">
        <f>SUM(C15:C17)</f>
        <v>0</v>
      </c>
      <c r="D14" s="1059">
        <f t="shared" ref="D14:K14" si="3">SUM(D15:D17)</f>
        <v>13321102</v>
      </c>
      <c r="E14" s="1421">
        <f t="shared" si="3"/>
        <v>16327535.17</v>
      </c>
      <c r="F14" s="1063">
        <f t="shared" si="3"/>
        <v>14200000</v>
      </c>
      <c r="G14" s="1059">
        <f t="shared" si="3"/>
        <v>11951300</v>
      </c>
      <c r="H14" s="1146">
        <f t="shared" si="3"/>
        <v>11951300</v>
      </c>
      <c r="I14" s="1422">
        <f t="shared" si="3"/>
        <v>650000</v>
      </c>
      <c r="J14" s="1059">
        <f t="shared" si="3"/>
        <v>688350</v>
      </c>
      <c r="K14" s="1146">
        <f t="shared" si="3"/>
        <v>726897.6</v>
      </c>
      <c r="L14" s="1552"/>
    </row>
    <row r="15" spans="1:12" s="1527" customFormat="1" ht="13.5" x14ac:dyDescent="0.25">
      <c r="A15" s="1285" t="s">
        <v>25</v>
      </c>
      <c r="B15" s="182"/>
      <c r="C15" s="1606"/>
      <c r="D15" s="1606"/>
      <c r="E15" s="1607"/>
      <c r="F15" s="1608"/>
      <c r="G15" s="1606"/>
      <c r="H15" s="1609"/>
      <c r="I15" s="1610">
        <f>[8]Sheet3!$I$206</f>
        <v>150000</v>
      </c>
      <c r="J15" s="1606">
        <f>I15*1.059</f>
        <v>158850</v>
      </c>
      <c r="K15" s="1609">
        <f>J15*1.056</f>
        <v>167745.60000000001</v>
      </c>
      <c r="L15" s="1552"/>
    </row>
    <row r="16" spans="1:12" s="1527" customFormat="1" ht="13.5" x14ac:dyDescent="0.25">
      <c r="A16" s="1285" t="s">
        <v>26</v>
      </c>
      <c r="B16" s="182"/>
      <c r="C16" s="1606"/>
      <c r="D16" s="1606"/>
      <c r="E16" s="1607"/>
      <c r="F16" s="1608"/>
      <c r="G16" s="1606"/>
      <c r="H16" s="1609"/>
      <c r="I16" s="1610"/>
      <c r="J16" s="1606"/>
      <c r="K16" s="1609"/>
      <c r="L16" s="1552"/>
    </row>
    <row r="17" spans="1:12" s="1527" customFormat="1" ht="13.5" x14ac:dyDescent="0.25">
      <c r="A17" s="1285" t="s">
        <v>27</v>
      </c>
      <c r="B17" s="182"/>
      <c r="C17" s="1606"/>
      <c r="D17" s="1606">
        <v>13321102</v>
      </c>
      <c r="E17" s="1607">
        <v>16327535.17</v>
      </c>
      <c r="F17" s="1608">
        <v>14200000</v>
      </c>
      <c r="G17" s="1606">
        <v>11951300</v>
      </c>
      <c r="H17" s="1609">
        <v>11951300</v>
      </c>
      <c r="I17" s="1610">
        <f>[8]Sheet3!$I$202</f>
        <v>500000</v>
      </c>
      <c r="J17" s="1606">
        <f>I17*1.059</f>
        <v>529500</v>
      </c>
      <c r="K17" s="1609">
        <f>J17*1.056</f>
        <v>559152</v>
      </c>
      <c r="L17" s="1552"/>
    </row>
    <row r="18" spans="1:12" s="1527" customFormat="1" ht="13.5" x14ac:dyDescent="0.25">
      <c r="A18" s="254" t="s">
        <v>28</v>
      </c>
      <c r="B18" s="182"/>
      <c r="C18" s="1059">
        <f t="shared" ref="C18:K18" si="4">SUM(C19:C20)</f>
        <v>0</v>
      </c>
      <c r="D18" s="1059">
        <f t="shared" si="4"/>
        <v>1040423</v>
      </c>
      <c r="E18" s="1421">
        <f t="shared" si="4"/>
        <v>0</v>
      </c>
      <c r="F18" s="1063">
        <f t="shared" si="4"/>
        <v>0</v>
      </c>
      <c r="G18" s="1059">
        <f t="shared" si="4"/>
        <v>149830.39999999999</v>
      </c>
      <c r="H18" s="1146">
        <f t="shared" si="4"/>
        <v>149830.39999999999</v>
      </c>
      <c r="I18" s="1422">
        <f t="shared" si="4"/>
        <v>15300000</v>
      </c>
      <c r="J18" s="1059">
        <f t="shared" si="4"/>
        <v>16202700</v>
      </c>
      <c r="K18" s="1146">
        <f t="shared" si="4"/>
        <v>17110051.199999999</v>
      </c>
      <c r="L18" s="1552"/>
    </row>
    <row r="19" spans="1:12" s="1527" customFormat="1" ht="13.5" x14ac:dyDescent="0.25">
      <c r="A19" s="1285" t="s">
        <v>27</v>
      </c>
      <c r="B19" s="182"/>
      <c r="C19" s="1606"/>
      <c r="D19" s="1606"/>
      <c r="E19" s="1607"/>
      <c r="F19" s="1608"/>
      <c r="G19" s="1606"/>
      <c r="H19" s="1609"/>
      <c r="I19" s="1610"/>
      <c r="J19" s="1606"/>
      <c r="K19" s="1609"/>
      <c r="L19" s="1552"/>
    </row>
    <row r="20" spans="1:12" s="1527" customFormat="1" ht="13.5" x14ac:dyDescent="0.25">
      <c r="A20" s="1285" t="s">
        <v>29</v>
      </c>
      <c r="B20" s="182"/>
      <c r="C20" s="1606"/>
      <c r="D20" s="1606">
        <v>1040423</v>
      </c>
      <c r="E20" s="1607"/>
      <c r="F20" s="1608"/>
      <c r="G20" s="1606">
        <v>149830.39999999999</v>
      </c>
      <c r="H20" s="1609">
        <v>149830.39999999999</v>
      </c>
      <c r="I20" s="1610">
        <f>[8]Sheet3!$I$207+[8]Sheet3!$I$204</f>
        <v>15300000</v>
      </c>
      <c r="J20" s="1606">
        <f>I20*1.059</f>
        <v>16202700</v>
      </c>
      <c r="K20" s="1609">
        <f>J20*1.056</f>
        <v>17110051.199999999</v>
      </c>
      <c r="L20" s="1552"/>
    </row>
    <row r="21" spans="1:12" s="1527" customFormat="1" ht="13.5" x14ac:dyDescent="0.25">
      <c r="A21" s="250" t="s">
        <v>30</v>
      </c>
      <c r="B21" s="182"/>
      <c r="C21" s="1059">
        <f>SUM(C22:C25)</f>
        <v>0</v>
      </c>
      <c r="D21" s="1059">
        <f t="shared" ref="D21:K21" si="5">SUM(D22:D25)</f>
        <v>0</v>
      </c>
      <c r="E21" s="1059">
        <f t="shared" si="5"/>
        <v>0</v>
      </c>
      <c r="F21" s="1063">
        <f t="shared" si="5"/>
        <v>250000</v>
      </c>
      <c r="G21" s="1059">
        <f t="shared" si="5"/>
        <v>0</v>
      </c>
      <c r="H21" s="1146">
        <f t="shared" si="5"/>
        <v>0</v>
      </c>
      <c r="I21" s="1422">
        <f t="shared" si="5"/>
        <v>0</v>
      </c>
      <c r="J21" s="1059">
        <f t="shared" si="5"/>
        <v>0</v>
      </c>
      <c r="K21" s="1146">
        <f t="shared" si="5"/>
        <v>0</v>
      </c>
      <c r="L21" s="1552"/>
    </row>
    <row r="22" spans="1:12" s="1527" customFormat="1" ht="13.5" x14ac:dyDescent="0.25">
      <c r="A22" s="1285" t="s">
        <v>1078</v>
      </c>
      <c r="B22" s="182"/>
      <c r="C22" s="1606"/>
      <c r="D22" s="1606"/>
      <c r="E22" s="1630"/>
      <c r="F22" s="1629">
        <v>250000</v>
      </c>
      <c r="G22" s="1606">
        <v>0</v>
      </c>
      <c r="H22" s="1630">
        <v>0</v>
      </c>
      <c r="I22" s="1629"/>
      <c r="J22" s="1606"/>
      <c r="K22" s="1609"/>
      <c r="L22" s="1551"/>
    </row>
    <row r="23" spans="1:12" s="1527" customFormat="1" ht="13.5" x14ac:dyDescent="0.25">
      <c r="A23" s="1285" t="s">
        <v>320</v>
      </c>
      <c r="B23" s="182">
        <v>2</v>
      </c>
      <c r="C23" s="1606"/>
      <c r="D23" s="1606"/>
      <c r="E23" s="1628"/>
      <c r="F23" s="1629"/>
      <c r="G23" s="1606"/>
      <c r="H23" s="1630"/>
      <c r="I23" s="1629"/>
      <c r="J23" s="1606"/>
      <c r="K23" s="1609"/>
      <c r="L23" s="1552"/>
    </row>
    <row r="24" spans="1:12" s="1527" customFormat="1" ht="13.5" x14ac:dyDescent="0.25">
      <c r="A24" s="1285" t="s">
        <v>138</v>
      </c>
      <c r="B24" s="182"/>
      <c r="C24" s="1606"/>
      <c r="D24" s="1606"/>
      <c r="E24" s="1628"/>
      <c r="F24" s="1629"/>
      <c r="G24" s="1606"/>
      <c r="H24" s="1630"/>
      <c r="I24" s="1629"/>
      <c r="J24" s="1606"/>
      <c r="K24" s="1628"/>
      <c r="L24" s="1552"/>
    </row>
    <row r="25" spans="1:12" s="1527" customFormat="1" ht="13.5" x14ac:dyDescent="0.25">
      <c r="A25" s="1285" t="s">
        <v>292</v>
      </c>
      <c r="B25" s="182">
        <v>3</v>
      </c>
      <c r="C25" s="1606">
        <v>0</v>
      </c>
      <c r="D25" s="1606"/>
      <c r="E25" s="1628"/>
      <c r="F25" s="1629"/>
      <c r="G25" s="1606"/>
      <c r="H25" s="1630"/>
      <c r="I25" s="1629"/>
      <c r="J25" s="1606"/>
      <c r="K25" s="1628"/>
      <c r="L25" s="1552"/>
    </row>
    <row r="26" spans="1:12" ht="5.0999999999999996" customHeight="1" x14ac:dyDescent="0.25">
      <c r="A26" s="273"/>
      <c r="B26" s="182"/>
      <c r="C26" s="203"/>
      <c r="D26" s="203"/>
      <c r="E26" s="204"/>
      <c r="F26" s="205"/>
      <c r="G26" s="203"/>
      <c r="H26" s="202"/>
      <c r="I26" s="205"/>
      <c r="J26" s="203"/>
      <c r="K26" s="204"/>
      <c r="L26" s="369"/>
    </row>
    <row r="27" spans="1:12" ht="17.25" customHeight="1" x14ac:dyDescent="0.25">
      <c r="A27" s="249" t="s">
        <v>1556</v>
      </c>
      <c r="B27" s="182"/>
      <c r="C27" s="218">
        <f>SUM(C28:C41)</f>
        <v>0</v>
      </c>
      <c r="D27" s="218">
        <f t="shared" ref="D27:K27" si="6">SUM(D28:D41)</f>
        <v>645857</v>
      </c>
      <c r="E27" s="219">
        <f t="shared" si="6"/>
        <v>0</v>
      </c>
      <c r="F27" s="220">
        <f t="shared" si="6"/>
        <v>0</v>
      </c>
      <c r="G27" s="218">
        <f t="shared" si="6"/>
        <v>0</v>
      </c>
      <c r="H27" s="217">
        <f t="shared" si="6"/>
        <v>0</v>
      </c>
      <c r="I27" s="220">
        <f t="shared" si="6"/>
        <v>0</v>
      </c>
      <c r="J27" s="218">
        <f t="shared" si="6"/>
        <v>0</v>
      </c>
      <c r="K27" s="219">
        <f t="shared" si="6"/>
        <v>0</v>
      </c>
      <c r="L27" s="369"/>
    </row>
    <row r="28" spans="1:12" ht="11.25" customHeight="1" x14ac:dyDescent="0.25">
      <c r="A28" s="250" t="s">
        <v>2</v>
      </c>
      <c r="B28" s="182"/>
      <c r="C28" s="1611"/>
      <c r="D28" s="1611"/>
      <c r="E28" s="1889"/>
      <c r="F28" s="1959"/>
      <c r="G28" s="1611"/>
      <c r="H28" s="1979"/>
      <c r="I28" s="1959"/>
      <c r="J28" s="1611"/>
      <c r="K28" s="1889"/>
      <c r="L28" s="1552"/>
    </row>
    <row r="29" spans="1:12" ht="11.25" customHeight="1" x14ac:dyDescent="0.25">
      <c r="A29" s="250" t="s">
        <v>1576</v>
      </c>
      <c r="B29" s="182"/>
      <c r="C29" s="1606"/>
      <c r="D29" s="1606"/>
      <c r="E29" s="1628"/>
      <c r="F29" s="1629"/>
      <c r="G29" s="1606"/>
      <c r="H29" s="1630"/>
      <c r="I29" s="1629"/>
      <c r="J29" s="1606"/>
      <c r="K29" s="1628"/>
      <c r="L29" s="1552"/>
    </row>
    <row r="30" spans="1:12" ht="11.25" customHeight="1" x14ac:dyDescent="0.25">
      <c r="A30" s="250" t="s">
        <v>503</v>
      </c>
      <c r="B30" s="182"/>
      <c r="C30" s="1606"/>
      <c r="D30" s="1606"/>
      <c r="E30" s="1628"/>
      <c r="F30" s="1629"/>
      <c r="G30" s="1606"/>
      <c r="H30" s="1630"/>
      <c r="I30" s="1629"/>
      <c r="J30" s="1606"/>
      <c r="K30" s="1628"/>
      <c r="L30" s="1552"/>
    </row>
    <row r="31" spans="1:12" ht="11.25" customHeight="1" x14ac:dyDescent="0.25">
      <c r="A31" s="250" t="s">
        <v>1</v>
      </c>
      <c r="B31" s="182"/>
      <c r="C31" s="1606"/>
      <c r="D31" s="1606">
        <v>645857</v>
      </c>
      <c r="E31" s="1628"/>
      <c r="F31" s="1629"/>
      <c r="G31" s="1606"/>
      <c r="H31" s="1630"/>
      <c r="I31" s="1629"/>
      <c r="J31" s="1606"/>
      <c r="K31" s="1628"/>
      <c r="L31" s="1552"/>
    </row>
    <row r="32" spans="1:12" ht="11.25" customHeight="1" x14ac:dyDescent="0.25">
      <c r="A32" s="250" t="s">
        <v>339</v>
      </c>
      <c r="B32" s="182"/>
      <c r="C32" s="1606"/>
      <c r="D32" s="1606"/>
      <c r="E32" s="1628"/>
      <c r="F32" s="1629"/>
      <c r="G32" s="1606"/>
      <c r="H32" s="1630"/>
      <c r="I32" s="1629"/>
      <c r="J32" s="1606"/>
      <c r="K32" s="1628"/>
      <c r="L32" s="1552"/>
    </row>
    <row r="33" spans="1:15" ht="11.25" customHeight="1" x14ac:dyDescent="0.25">
      <c r="A33" s="250" t="s">
        <v>0</v>
      </c>
      <c r="B33" s="182"/>
      <c r="C33" s="1606"/>
      <c r="D33" s="1606"/>
      <c r="E33" s="1628"/>
      <c r="F33" s="1629"/>
      <c r="G33" s="1606"/>
      <c r="H33" s="1630"/>
      <c r="I33" s="1629"/>
      <c r="J33" s="1606"/>
      <c r="K33" s="1628"/>
      <c r="L33" s="1552"/>
    </row>
    <row r="34" spans="1:15" ht="11.25" customHeight="1" x14ac:dyDescent="0.25">
      <c r="A34" s="250" t="s">
        <v>1577</v>
      </c>
      <c r="B34" s="182"/>
      <c r="C34" s="1606"/>
      <c r="D34" s="1606"/>
      <c r="E34" s="1628"/>
      <c r="F34" s="1629"/>
      <c r="G34" s="1606"/>
      <c r="H34" s="1630"/>
      <c r="I34" s="1629"/>
      <c r="J34" s="1606"/>
      <c r="K34" s="1628"/>
      <c r="L34" s="1552"/>
    </row>
    <row r="35" spans="1:15" ht="11.25" customHeight="1" x14ac:dyDescent="0.25">
      <c r="A35" s="250" t="s">
        <v>954</v>
      </c>
      <c r="B35" s="182"/>
      <c r="C35" s="1606"/>
      <c r="D35" s="1606"/>
      <c r="E35" s="1628"/>
      <c r="F35" s="1629"/>
      <c r="G35" s="1606"/>
      <c r="H35" s="1630"/>
      <c r="I35" s="1629"/>
      <c r="J35" s="1606"/>
      <c r="K35" s="1628"/>
      <c r="L35" s="1552"/>
    </row>
    <row r="36" spans="1:15" ht="11.25" customHeight="1" x14ac:dyDescent="0.25">
      <c r="A36" s="250" t="s">
        <v>1512</v>
      </c>
      <c r="B36" s="182">
        <v>7</v>
      </c>
      <c r="C36" s="1606"/>
      <c r="D36" s="1606"/>
      <c r="E36" s="1628"/>
      <c r="F36" s="1629"/>
      <c r="G36" s="1606"/>
      <c r="H36" s="1630"/>
      <c r="I36" s="1629"/>
      <c r="J36" s="1606"/>
      <c r="K36" s="1628"/>
      <c r="L36" s="1552"/>
    </row>
    <row r="37" spans="1:15" ht="11.25" customHeight="1" x14ac:dyDescent="0.25">
      <c r="A37" s="250" t="s">
        <v>1273</v>
      </c>
      <c r="B37" s="182"/>
      <c r="C37" s="1606"/>
      <c r="D37" s="1606"/>
      <c r="E37" s="1628"/>
      <c r="F37" s="1629"/>
      <c r="G37" s="1606"/>
      <c r="H37" s="1630"/>
      <c r="I37" s="1629"/>
      <c r="J37" s="1606"/>
      <c r="K37" s="1628"/>
      <c r="L37" s="1552"/>
      <c r="O37" s="369"/>
    </row>
    <row r="38" spans="1:15" ht="11.25" customHeight="1" x14ac:dyDescent="0.25">
      <c r="A38" s="250" t="s">
        <v>719</v>
      </c>
      <c r="B38" s="182"/>
      <c r="C38" s="1606"/>
      <c r="D38" s="1606"/>
      <c r="E38" s="1628"/>
      <c r="F38" s="1629"/>
      <c r="G38" s="1606"/>
      <c r="H38" s="1630"/>
      <c r="I38" s="1629"/>
      <c r="J38" s="1606"/>
      <c r="K38" s="1628"/>
      <c r="L38" s="1552"/>
    </row>
    <row r="39" spans="1:15" ht="11.25" customHeight="1" x14ac:dyDescent="0.25">
      <c r="A39" s="250" t="s">
        <v>501</v>
      </c>
      <c r="B39" s="182"/>
      <c r="C39" s="1606"/>
      <c r="D39" s="1606"/>
      <c r="E39" s="1628"/>
      <c r="F39" s="1629"/>
      <c r="G39" s="1606"/>
      <c r="H39" s="1630"/>
      <c r="I39" s="1629"/>
      <c r="J39" s="1606"/>
      <c r="K39" s="1628"/>
      <c r="L39" s="1552"/>
    </row>
    <row r="40" spans="1:15" ht="11.25" customHeight="1" x14ac:dyDescent="0.25">
      <c r="A40" s="250" t="s">
        <v>31</v>
      </c>
      <c r="B40" s="182">
        <v>8</v>
      </c>
      <c r="C40" s="1606"/>
      <c r="D40" s="1606"/>
      <c r="E40" s="1628"/>
      <c r="F40" s="1629"/>
      <c r="G40" s="1606"/>
      <c r="H40" s="1630"/>
      <c r="I40" s="1629"/>
      <c r="J40" s="1606"/>
      <c r="K40" s="1628"/>
      <c r="L40" s="369"/>
    </row>
    <row r="41" spans="1:15" ht="11.25" customHeight="1" x14ac:dyDescent="0.25">
      <c r="A41" s="250" t="s">
        <v>292</v>
      </c>
      <c r="B41" s="182"/>
      <c r="C41" s="1651"/>
      <c r="D41" s="1651"/>
      <c r="E41" s="1652"/>
      <c r="F41" s="1653"/>
      <c r="G41" s="1651"/>
      <c r="H41" s="1654"/>
      <c r="I41" s="1653"/>
      <c r="J41" s="1651"/>
      <c r="K41" s="1652"/>
      <c r="L41" s="1552"/>
    </row>
    <row r="42" spans="1:15" ht="5.0999999999999996" customHeight="1" x14ac:dyDescent="0.25">
      <c r="A42" s="273"/>
      <c r="B42" s="182"/>
      <c r="C42" s="203"/>
      <c r="D42" s="203"/>
      <c r="E42" s="204"/>
      <c r="F42" s="205"/>
      <c r="G42" s="203"/>
      <c r="H42" s="202"/>
      <c r="I42" s="205"/>
      <c r="J42" s="203"/>
      <c r="K42" s="204"/>
      <c r="L42" s="369"/>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69"/>
    </row>
    <row r="44" spans="1:15" ht="11.25" customHeight="1" x14ac:dyDescent="0.25">
      <c r="A44" s="250" t="s">
        <v>1245</v>
      </c>
      <c r="B44" s="182"/>
      <c r="C44" s="1616"/>
      <c r="D44" s="1616"/>
      <c r="E44" s="1980"/>
      <c r="F44" s="1981"/>
      <c r="G44" s="1616"/>
      <c r="H44" s="1982"/>
      <c r="I44" s="1981"/>
      <c r="J44" s="1616"/>
      <c r="K44" s="1980"/>
      <c r="L44" s="369"/>
    </row>
    <row r="45" spans="1:15" ht="11.25" customHeight="1" x14ac:dyDescent="0.25">
      <c r="A45" s="254" t="s">
        <v>292</v>
      </c>
      <c r="B45" s="182">
        <v>9</v>
      </c>
      <c r="C45" s="1646"/>
      <c r="D45" s="1646"/>
      <c r="E45" s="1983"/>
      <c r="F45" s="1984"/>
      <c r="G45" s="1646"/>
      <c r="H45" s="1985"/>
      <c r="I45" s="1984"/>
      <c r="J45" s="1646"/>
      <c r="K45" s="1983"/>
      <c r="L45" s="369"/>
    </row>
    <row r="46" spans="1:15" ht="5.0999999999999996" customHeight="1" x14ac:dyDescent="0.25">
      <c r="A46" s="273"/>
      <c r="B46" s="182"/>
      <c r="C46" s="203"/>
      <c r="D46" s="203"/>
      <c r="E46" s="204"/>
      <c r="F46" s="205"/>
      <c r="G46" s="203"/>
      <c r="H46" s="202"/>
      <c r="I46" s="205"/>
      <c r="J46" s="203"/>
      <c r="K46" s="204"/>
      <c r="L46" s="369"/>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69"/>
    </row>
    <row r="48" spans="1:15" ht="11.25" customHeight="1" x14ac:dyDescent="0.25">
      <c r="A48" s="250" t="s">
        <v>502</v>
      </c>
      <c r="B48" s="182"/>
      <c r="C48" s="1611"/>
      <c r="D48" s="1611"/>
      <c r="E48" s="1889"/>
      <c r="F48" s="1959"/>
      <c r="G48" s="1611"/>
      <c r="H48" s="1979"/>
      <c r="I48" s="1959"/>
      <c r="J48" s="1611"/>
      <c r="K48" s="1889"/>
      <c r="L48" s="1552"/>
    </row>
    <row r="49" spans="1:12" ht="11.25" customHeight="1" x14ac:dyDescent="0.25">
      <c r="A49" s="250" t="s">
        <v>292</v>
      </c>
      <c r="B49" s="182"/>
      <c r="C49" s="1651"/>
      <c r="D49" s="1651"/>
      <c r="E49" s="1652"/>
      <c r="F49" s="1653"/>
      <c r="G49" s="1651"/>
      <c r="H49" s="1654"/>
      <c r="I49" s="1653"/>
      <c r="J49" s="1651"/>
      <c r="K49" s="1652"/>
      <c r="L49" s="369"/>
    </row>
    <row r="50" spans="1:12" ht="5.0999999999999996" customHeight="1" x14ac:dyDescent="0.25">
      <c r="A50" s="273"/>
      <c r="B50" s="182"/>
      <c r="C50" s="203"/>
      <c r="D50" s="203"/>
      <c r="E50" s="204"/>
      <c r="F50" s="205"/>
      <c r="G50" s="203"/>
      <c r="H50" s="202"/>
      <c r="I50" s="205"/>
      <c r="J50" s="203"/>
      <c r="K50" s="204"/>
      <c r="L50" s="369"/>
    </row>
    <row r="51" spans="1:12" ht="17.25" customHeight="1" x14ac:dyDescent="0.25">
      <c r="A51" s="249" t="s">
        <v>959</v>
      </c>
      <c r="B51" s="182"/>
      <c r="C51" s="218">
        <f>SUM(C52:C63)</f>
        <v>0</v>
      </c>
      <c r="D51" s="218">
        <f t="shared" ref="D51:K51" si="9">SUM(D52:D63)</f>
        <v>3325627</v>
      </c>
      <c r="E51" s="219">
        <f t="shared" si="9"/>
        <v>1473823.98</v>
      </c>
      <c r="F51" s="220">
        <f t="shared" si="9"/>
        <v>1600000</v>
      </c>
      <c r="G51" s="218">
        <f t="shared" si="9"/>
        <v>1027164.01</v>
      </c>
      <c r="H51" s="217">
        <f t="shared" si="9"/>
        <v>1027164.01</v>
      </c>
      <c r="I51" s="220">
        <f t="shared" si="9"/>
        <v>2440000</v>
      </c>
      <c r="J51" s="218">
        <f t="shared" si="9"/>
        <v>2583960</v>
      </c>
      <c r="K51" s="219">
        <f t="shared" si="9"/>
        <v>2728661.76</v>
      </c>
      <c r="L51" s="369"/>
    </row>
    <row r="52" spans="1:12" ht="11.25" customHeight="1" x14ac:dyDescent="0.25">
      <c r="A52" s="254" t="s">
        <v>628</v>
      </c>
      <c r="B52" s="182"/>
      <c r="C52" s="1611"/>
      <c r="D52" s="1611">
        <v>3308740</v>
      </c>
      <c r="E52" s="1889"/>
      <c r="F52" s="1959">
        <v>1000000</v>
      </c>
      <c r="G52" s="1611">
        <v>841102.67</v>
      </c>
      <c r="H52" s="1979">
        <v>841102.67</v>
      </c>
      <c r="I52" s="1959">
        <v>2000000</v>
      </c>
      <c r="J52" s="1611">
        <f>I52*1.059</f>
        <v>2118000</v>
      </c>
      <c r="K52" s="1889">
        <f>J52*1.056</f>
        <v>2236608</v>
      </c>
      <c r="L52" s="1552"/>
    </row>
    <row r="53" spans="1:12" ht="11.25" customHeight="1" x14ac:dyDescent="0.25">
      <c r="A53" s="254" t="s">
        <v>32</v>
      </c>
      <c r="B53" s="182">
        <v>10</v>
      </c>
      <c r="C53" s="1059">
        <f>C79</f>
        <v>0</v>
      </c>
      <c r="D53" s="1059">
        <f t="shared" ref="D53:K53" si="10">D79</f>
        <v>0</v>
      </c>
      <c r="E53" s="1060">
        <f t="shared" si="10"/>
        <v>0</v>
      </c>
      <c r="F53" s="1061">
        <f t="shared" si="10"/>
        <v>0</v>
      </c>
      <c r="G53" s="1059">
        <f t="shared" si="10"/>
        <v>0</v>
      </c>
      <c r="H53" s="1062">
        <f t="shared" si="10"/>
        <v>0</v>
      </c>
      <c r="I53" s="1061">
        <f t="shared" si="10"/>
        <v>0</v>
      </c>
      <c r="J53" s="1059">
        <f t="shared" si="10"/>
        <v>0</v>
      </c>
      <c r="K53" s="1060">
        <f t="shared" si="10"/>
        <v>0</v>
      </c>
      <c r="L53" s="369"/>
    </row>
    <row r="54" spans="1:12" ht="11.25" customHeight="1" x14ac:dyDescent="0.25">
      <c r="A54" s="254" t="s">
        <v>1233</v>
      </c>
      <c r="B54" s="182"/>
      <c r="C54" s="1606"/>
      <c r="D54" s="1606"/>
      <c r="E54" s="1628"/>
      <c r="F54" s="1629"/>
      <c r="G54" s="1606">
        <v>0</v>
      </c>
      <c r="H54" s="1630">
        <v>0</v>
      </c>
      <c r="I54" s="1629"/>
      <c r="J54" s="1606"/>
      <c r="K54" s="1628"/>
      <c r="L54" s="1552"/>
    </row>
    <row r="55" spans="1:12" ht="11.25" customHeight="1" x14ac:dyDescent="0.25">
      <c r="A55" s="254" t="s">
        <v>629</v>
      </c>
      <c r="B55" s="182"/>
      <c r="C55" s="1606"/>
      <c r="D55" s="1606"/>
      <c r="E55" s="1628">
        <v>10951.75</v>
      </c>
      <c r="F55" s="1629">
        <v>50000</v>
      </c>
      <c r="G55" s="1606">
        <v>75950.34</v>
      </c>
      <c r="H55" s="1630">
        <v>75950.34</v>
      </c>
      <c r="I55" s="1629">
        <f>[8]Sheet3!$I$209</f>
        <v>250000</v>
      </c>
      <c r="J55" s="1606">
        <f>I55*1.059</f>
        <v>264750</v>
      </c>
      <c r="K55" s="1628">
        <f>J55*1.056</f>
        <v>279576</v>
      </c>
      <c r="L55" s="1552"/>
    </row>
    <row r="56" spans="1:12" ht="11.25" customHeight="1" x14ac:dyDescent="0.25">
      <c r="A56" s="254" t="s">
        <v>630</v>
      </c>
      <c r="B56" s="182"/>
      <c r="C56" s="1606"/>
      <c r="D56" s="1606"/>
      <c r="E56" s="1628"/>
      <c r="F56" s="1629">
        <v>0</v>
      </c>
      <c r="G56" s="1606">
        <v>0</v>
      </c>
      <c r="H56" s="1630">
        <v>0</v>
      </c>
      <c r="I56" s="1629"/>
      <c r="J56" s="1606"/>
      <c r="K56" s="1628"/>
      <c r="L56" s="1552"/>
    </row>
    <row r="57" spans="1:12" ht="11.25" customHeight="1" x14ac:dyDescent="0.25">
      <c r="A57" s="254" t="s">
        <v>1234</v>
      </c>
      <c r="B57" s="182"/>
      <c r="C57" s="1606"/>
      <c r="D57" s="1606"/>
      <c r="E57" s="1628"/>
      <c r="F57" s="1629">
        <v>0</v>
      </c>
      <c r="G57" s="1606">
        <v>0</v>
      </c>
      <c r="H57" s="1630">
        <v>0</v>
      </c>
      <c r="I57" s="1629"/>
      <c r="J57" s="1606"/>
      <c r="K57" s="1628"/>
      <c r="L57" s="1552"/>
    </row>
    <row r="58" spans="1:12" ht="11.25" customHeight="1" x14ac:dyDescent="0.25">
      <c r="A58" s="254" t="s">
        <v>1235</v>
      </c>
      <c r="B58" s="182"/>
      <c r="C58" s="1606"/>
      <c r="D58" s="1606"/>
      <c r="E58" s="1628"/>
      <c r="F58" s="1629">
        <v>0</v>
      </c>
      <c r="G58" s="1606">
        <v>0</v>
      </c>
      <c r="H58" s="1630">
        <v>0</v>
      </c>
      <c r="I58" s="1629"/>
      <c r="J58" s="1606"/>
      <c r="K58" s="1628"/>
      <c r="L58" s="1551"/>
    </row>
    <row r="59" spans="1:12" ht="11.25" customHeight="1" x14ac:dyDescent="0.25">
      <c r="A59" s="254" t="s">
        <v>1510</v>
      </c>
      <c r="B59" s="182"/>
      <c r="C59" s="1606"/>
      <c r="D59" s="1606"/>
      <c r="E59" s="1628"/>
      <c r="F59" s="1629">
        <v>0</v>
      </c>
      <c r="G59" s="1606">
        <v>0</v>
      </c>
      <c r="H59" s="1630">
        <v>0</v>
      </c>
      <c r="I59" s="1629"/>
      <c r="J59" s="1606"/>
      <c r="K59" s="1628"/>
      <c r="L59" s="1552"/>
    </row>
    <row r="60" spans="1:12" ht="11.25" customHeight="1" x14ac:dyDescent="0.25">
      <c r="A60" s="254" t="s">
        <v>322</v>
      </c>
      <c r="B60" s="182"/>
      <c r="C60" s="1606"/>
      <c r="D60" s="1606"/>
      <c r="E60" s="1628">
        <v>978804.63</v>
      </c>
      <c r="F60" s="1629">
        <v>100000</v>
      </c>
      <c r="G60" s="1606">
        <v>71111</v>
      </c>
      <c r="H60" s="1630">
        <v>71111</v>
      </c>
      <c r="I60" s="1629"/>
      <c r="J60" s="1606"/>
      <c r="K60" s="1628"/>
      <c r="L60" s="1552"/>
    </row>
    <row r="61" spans="1:12" ht="11.25" customHeight="1" x14ac:dyDescent="0.25">
      <c r="A61" s="254" t="s">
        <v>321</v>
      </c>
      <c r="B61" s="182"/>
      <c r="C61" s="1606"/>
      <c r="D61" s="1606"/>
      <c r="E61" s="1628">
        <v>113411.1</v>
      </c>
      <c r="F61" s="1629">
        <v>0</v>
      </c>
      <c r="G61" s="1606">
        <v>0</v>
      </c>
      <c r="H61" s="1630">
        <v>0</v>
      </c>
      <c r="I61" s="1629"/>
      <c r="J61" s="1606"/>
      <c r="K61" s="1628"/>
      <c r="L61" s="1552"/>
    </row>
    <row r="62" spans="1:12" ht="11.25" customHeight="1" x14ac:dyDescent="0.25">
      <c r="A62" s="254" t="s">
        <v>631</v>
      </c>
      <c r="B62" s="182"/>
      <c r="C62" s="1606"/>
      <c r="D62" s="1606"/>
      <c r="E62" s="1628"/>
      <c r="F62" s="1629"/>
      <c r="G62" s="1606">
        <v>0</v>
      </c>
      <c r="H62" s="1630">
        <v>0</v>
      </c>
      <c r="I62" s="1629"/>
      <c r="J62" s="1606"/>
      <c r="K62" s="1628"/>
      <c r="L62" s="1552"/>
    </row>
    <row r="63" spans="1:12" ht="11.25" customHeight="1" x14ac:dyDescent="0.25">
      <c r="A63" s="250" t="s">
        <v>292</v>
      </c>
      <c r="B63" s="182"/>
      <c r="C63" s="1651"/>
      <c r="D63" s="1651">
        <v>16887</v>
      </c>
      <c r="E63" s="1652">
        <v>370656.5</v>
      </c>
      <c r="F63" s="1653">
        <v>450000</v>
      </c>
      <c r="G63" s="1651">
        <v>39000</v>
      </c>
      <c r="H63" s="1654">
        <v>39000</v>
      </c>
      <c r="I63" s="1653">
        <f>[8]Sheet3!$I$208+[8]Sheet3!$I$211</f>
        <v>190000</v>
      </c>
      <c r="J63" s="1651">
        <f>I63*1.059</f>
        <v>201210</v>
      </c>
      <c r="K63" s="1652">
        <f>J63*1.056</f>
        <v>212477.76</v>
      </c>
      <c r="L63" s="1552"/>
    </row>
    <row r="64" spans="1:12" ht="5.0999999999999996" customHeight="1" x14ac:dyDescent="0.25">
      <c r="A64" s="839"/>
      <c r="B64" s="182"/>
      <c r="C64" s="203"/>
      <c r="D64" s="203"/>
      <c r="E64" s="204"/>
      <c r="F64" s="205"/>
      <c r="G64" s="203"/>
      <c r="H64" s="202"/>
      <c r="I64" s="205"/>
      <c r="J64" s="203"/>
      <c r="K64" s="204"/>
      <c r="L64" s="369"/>
    </row>
    <row r="65" spans="1:12" ht="13.5" customHeight="1" x14ac:dyDescent="0.25">
      <c r="A65" s="249" t="s">
        <v>1525</v>
      </c>
      <c r="B65" s="182"/>
      <c r="C65" s="203">
        <f>SUM(C66:C67)</f>
        <v>0</v>
      </c>
      <c r="D65" s="203">
        <f t="shared" ref="D65:K65" si="11">SUM(D66:D67)</f>
        <v>0</v>
      </c>
      <c r="E65" s="204">
        <f t="shared" si="11"/>
        <v>0</v>
      </c>
      <c r="F65" s="205">
        <f t="shared" si="11"/>
        <v>0</v>
      </c>
      <c r="G65" s="203">
        <f t="shared" si="11"/>
        <v>0</v>
      </c>
      <c r="H65" s="202">
        <f t="shared" si="11"/>
        <v>0</v>
      </c>
      <c r="I65" s="205">
        <f t="shared" si="11"/>
        <v>0</v>
      </c>
      <c r="J65" s="203">
        <f t="shared" si="11"/>
        <v>0</v>
      </c>
      <c r="K65" s="204">
        <f t="shared" si="11"/>
        <v>0</v>
      </c>
      <c r="L65" s="369"/>
    </row>
    <row r="66" spans="1:12" ht="11.25" customHeight="1" x14ac:dyDescent="0.25">
      <c r="A66" s="1940" t="s">
        <v>1246</v>
      </c>
      <c r="B66" s="182"/>
      <c r="C66" s="1611"/>
      <c r="D66" s="1611"/>
      <c r="E66" s="1889"/>
      <c r="F66" s="1959"/>
      <c r="G66" s="1611"/>
      <c r="H66" s="1979"/>
      <c r="I66" s="1959"/>
      <c r="J66" s="1611"/>
      <c r="K66" s="1889"/>
      <c r="L66" s="369"/>
    </row>
    <row r="67" spans="1:12" ht="11.25" customHeight="1" x14ac:dyDescent="0.25">
      <c r="A67" s="1940"/>
      <c r="B67" s="182"/>
      <c r="C67" s="1651"/>
      <c r="D67" s="1651"/>
      <c r="E67" s="1652"/>
      <c r="F67" s="1653"/>
      <c r="G67" s="1651"/>
      <c r="H67" s="1654"/>
      <c r="I67" s="1653"/>
      <c r="J67" s="1651"/>
      <c r="K67" s="1652"/>
      <c r="L67" s="369"/>
    </row>
    <row r="68" spans="1:12" ht="5.0999999999999996" customHeight="1" x14ac:dyDescent="0.25">
      <c r="A68" s="839"/>
      <c r="B68" s="182"/>
      <c r="C68" s="203"/>
      <c r="D68" s="203"/>
      <c r="E68" s="204"/>
      <c r="F68" s="205"/>
      <c r="G68" s="203"/>
      <c r="H68" s="202"/>
      <c r="I68" s="205"/>
      <c r="J68" s="203"/>
      <c r="K68" s="204"/>
      <c r="L68" s="369"/>
    </row>
    <row r="69" spans="1:12" ht="13.5" customHeight="1" x14ac:dyDescent="0.25">
      <c r="A69" s="249" t="s">
        <v>136</v>
      </c>
      <c r="B69" s="182"/>
      <c r="C69" s="203">
        <f>SUM(C70:C71)</f>
        <v>0</v>
      </c>
      <c r="D69" s="203">
        <f t="shared" ref="D69:K69" si="12">SUM(D70:D71)</f>
        <v>0</v>
      </c>
      <c r="E69" s="204">
        <f t="shared" si="12"/>
        <v>0</v>
      </c>
      <c r="F69" s="205">
        <f t="shared" si="12"/>
        <v>0</v>
      </c>
      <c r="G69" s="203">
        <f t="shared" si="12"/>
        <v>0</v>
      </c>
      <c r="H69" s="202">
        <f t="shared" si="12"/>
        <v>0</v>
      </c>
      <c r="I69" s="205">
        <f t="shared" si="12"/>
        <v>0</v>
      </c>
      <c r="J69" s="203">
        <f t="shared" si="12"/>
        <v>0</v>
      </c>
      <c r="K69" s="204">
        <f t="shared" si="12"/>
        <v>0</v>
      </c>
      <c r="L69" s="369"/>
    </row>
    <row r="70" spans="1:12" ht="11.25" customHeight="1" x14ac:dyDescent="0.25">
      <c r="A70" s="1940" t="s">
        <v>1246</v>
      </c>
      <c r="B70" s="182"/>
      <c r="C70" s="1611"/>
      <c r="D70" s="1611"/>
      <c r="E70" s="1889"/>
      <c r="F70" s="1959"/>
      <c r="G70" s="1611"/>
      <c r="H70" s="1979"/>
      <c r="I70" s="1959"/>
      <c r="J70" s="1611"/>
      <c r="K70" s="1889"/>
      <c r="L70" s="369"/>
    </row>
    <row r="71" spans="1:12" ht="11.25" customHeight="1" x14ac:dyDescent="0.25">
      <c r="A71" s="1940"/>
      <c r="B71" s="182"/>
      <c r="C71" s="1651"/>
      <c r="D71" s="1651"/>
      <c r="E71" s="1652"/>
      <c r="F71" s="1653"/>
      <c r="G71" s="1651"/>
      <c r="H71" s="1654"/>
      <c r="I71" s="1653"/>
      <c r="J71" s="1651"/>
      <c r="K71" s="1652"/>
      <c r="L71" s="369"/>
    </row>
    <row r="72" spans="1:12" ht="5.0999999999999996" customHeight="1" x14ac:dyDescent="0.25">
      <c r="A72" s="273"/>
      <c r="B72" s="182"/>
      <c r="C72" s="203"/>
      <c r="D72" s="203"/>
      <c r="E72" s="204"/>
      <c r="F72" s="205"/>
      <c r="G72" s="203"/>
      <c r="H72" s="202"/>
      <c r="I72" s="205"/>
      <c r="J72" s="203"/>
      <c r="K72" s="204"/>
      <c r="L72" s="369"/>
    </row>
    <row r="73" spans="1:12" ht="17.25" customHeight="1" x14ac:dyDescent="0.25">
      <c r="A73" s="249" t="s">
        <v>877</v>
      </c>
      <c r="B73" s="182"/>
      <c r="C73" s="203">
        <f>SUM(C74:C75)</f>
        <v>0</v>
      </c>
      <c r="D73" s="203">
        <f t="shared" ref="D73:K73" si="13">SUM(D74:D75)</f>
        <v>0</v>
      </c>
      <c r="E73" s="204">
        <f t="shared" si="13"/>
        <v>0</v>
      </c>
      <c r="F73" s="205">
        <f t="shared" si="13"/>
        <v>0</v>
      </c>
      <c r="G73" s="203">
        <f t="shared" si="13"/>
        <v>0</v>
      </c>
      <c r="H73" s="202">
        <f t="shared" si="13"/>
        <v>0</v>
      </c>
      <c r="I73" s="205">
        <f t="shared" si="13"/>
        <v>0</v>
      </c>
      <c r="J73" s="203">
        <f t="shared" si="13"/>
        <v>0</v>
      </c>
      <c r="K73" s="204">
        <f t="shared" si="13"/>
        <v>0</v>
      </c>
      <c r="L73" s="369"/>
    </row>
    <row r="74" spans="1:12" ht="11.25" customHeight="1" x14ac:dyDescent="0.25">
      <c r="A74" s="254" t="s">
        <v>965</v>
      </c>
      <c r="B74" s="182"/>
      <c r="C74" s="1611"/>
      <c r="D74" s="1611"/>
      <c r="E74" s="1889"/>
      <c r="F74" s="1959"/>
      <c r="G74" s="1611"/>
      <c r="H74" s="1979"/>
      <c r="I74" s="1959"/>
      <c r="J74" s="1611"/>
      <c r="K74" s="1889"/>
      <c r="L74" s="369"/>
    </row>
    <row r="75" spans="1:12" ht="11.25" customHeight="1" x14ac:dyDescent="0.25">
      <c r="A75" s="1914" t="s">
        <v>612</v>
      </c>
      <c r="B75" s="182"/>
      <c r="C75" s="1651"/>
      <c r="D75" s="1651"/>
      <c r="E75" s="1652"/>
      <c r="F75" s="1653"/>
      <c r="G75" s="1651"/>
      <c r="H75" s="1654"/>
      <c r="I75" s="1653"/>
      <c r="J75" s="1651"/>
      <c r="K75" s="1652"/>
      <c r="L75" s="369"/>
    </row>
    <row r="76" spans="1:12" ht="5.0999999999999996" customHeight="1" x14ac:dyDescent="0.25">
      <c r="A76" s="273"/>
      <c r="B76" s="182"/>
      <c r="C76" s="218"/>
      <c r="D76" s="218"/>
      <c r="E76" s="219"/>
      <c r="F76" s="220"/>
      <c r="G76" s="218"/>
      <c r="H76" s="217"/>
      <c r="I76" s="220"/>
      <c r="J76" s="218"/>
      <c r="K76" s="219"/>
      <c r="L76" s="369"/>
    </row>
    <row r="77" spans="1:12" x14ac:dyDescent="0.25">
      <c r="A77" s="281" t="s">
        <v>1217</v>
      </c>
      <c r="B77" s="225">
        <v>1</v>
      </c>
      <c r="C77" s="230">
        <f t="shared" ref="C77:K77" si="14">C6+C27+C43+C47+C51+C73+C65+C69</f>
        <v>0</v>
      </c>
      <c r="D77" s="230">
        <f t="shared" si="14"/>
        <v>25994364</v>
      </c>
      <c r="E77" s="228">
        <f t="shared" si="14"/>
        <v>19558082.859999999</v>
      </c>
      <c r="F77" s="229">
        <f t="shared" si="14"/>
        <v>17850000</v>
      </c>
      <c r="G77" s="230">
        <f>G6+G27+G43+G47+G51+G73+G65+G69</f>
        <v>13128294.41</v>
      </c>
      <c r="H77" s="231">
        <f t="shared" si="14"/>
        <v>13128294.41</v>
      </c>
      <c r="I77" s="229">
        <f t="shared" si="14"/>
        <v>19090000</v>
      </c>
      <c r="J77" s="230">
        <f t="shared" si="14"/>
        <v>20216310</v>
      </c>
      <c r="K77" s="228">
        <f t="shared" si="14"/>
        <v>21348423.359999999</v>
      </c>
      <c r="L77" s="369"/>
    </row>
    <row r="78" spans="1:12" x14ac:dyDescent="0.25">
      <c r="A78" s="2448"/>
      <c r="B78" s="2449"/>
      <c r="C78" s="1272"/>
      <c r="D78" s="1272"/>
      <c r="E78" s="1272"/>
      <c r="F78" s="1272"/>
      <c r="G78" s="1272"/>
      <c r="H78" s="1272"/>
      <c r="I78" s="1272"/>
      <c r="J78" s="1272"/>
      <c r="K78" s="1272"/>
      <c r="L78" s="369"/>
    </row>
    <row r="79" spans="1:12" x14ac:dyDescent="0.25">
      <c r="A79" s="1555" t="s">
        <v>32</v>
      </c>
      <c r="B79" s="2445"/>
      <c r="C79" s="1297">
        <f t="shared" ref="C79:K79" si="15">SUM(C80:C83)</f>
        <v>0</v>
      </c>
      <c r="D79" s="1293">
        <f t="shared" si="15"/>
        <v>0</v>
      </c>
      <c r="E79" s="1557">
        <f t="shared" si="15"/>
        <v>0</v>
      </c>
      <c r="F79" s="1297">
        <f t="shared" si="15"/>
        <v>0</v>
      </c>
      <c r="G79" s="1293">
        <f t="shared" si="15"/>
        <v>0</v>
      </c>
      <c r="H79" s="1557">
        <f t="shared" si="15"/>
        <v>0</v>
      </c>
      <c r="I79" s="1297">
        <f t="shared" si="15"/>
        <v>0</v>
      </c>
      <c r="J79" s="1293">
        <f t="shared" si="15"/>
        <v>0</v>
      </c>
      <c r="K79" s="1557">
        <f t="shared" si="15"/>
        <v>0</v>
      </c>
      <c r="L79" s="369"/>
    </row>
    <row r="80" spans="1:12" x14ac:dyDescent="0.25">
      <c r="A80" s="190" t="s">
        <v>1279</v>
      </c>
      <c r="B80" s="2446"/>
      <c r="C80" s="1608"/>
      <c r="D80" s="1606"/>
      <c r="E80" s="1609"/>
      <c r="F80" s="1608"/>
      <c r="G80" s="1606"/>
      <c r="H80" s="1609"/>
      <c r="I80" s="1608"/>
      <c r="J80" s="1606"/>
      <c r="K80" s="1609"/>
      <c r="L80" s="369"/>
    </row>
    <row r="81" spans="1:12" x14ac:dyDescent="0.25">
      <c r="A81" s="190" t="s">
        <v>1511</v>
      </c>
      <c r="B81" s="2446"/>
      <c r="C81" s="1608"/>
      <c r="D81" s="1606"/>
      <c r="E81" s="1609"/>
      <c r="F81" s="1608"/>
      <c r="G81" s="1606"/>
      <c r="H81" s="1609"/>
      <c r="I81" s="1608"/>
      <c r="J81" s="1606"/>
      <c r="K81" s="1609"/>
      <c r="L81" s="369"/>
    </row>
    <row r="82" spans="1:12" x14ac:dyDescent="0.25">
      <c r="A82" s="190" t="s">
        <v>1707</v>
      </c>
      <c r="B82" s="2446"/>
      <c r="C82" s="1608"/>
      <c r="D82" s="1606"/>
      <c r="E82" s="1609"/>
      <c r="F82" s="1608"/>
      <c r="G82" s="1606"/>
      <c r="H82" s="1609"/>
      <c r="I82" s="1608"/>
      <c r="J82" s="1606"/>
      <c r="K82" s="1609"/>
      <c r="L82" s="369"/>
    </row>
    <row r="83" spans="1:12" x14ac:dyDescent="0.25">
      <c r="A83" s="1310" t="s">
        <v>1708</v>
      </c>
      <c r="B83" s="2447"/>
      <c r="C83" s="1697"/>
      <c r="D83" s="1693"/>
      <c r="E83" s="1986"/>
      <c r="F83" s="1697"/>
      <c r="G83" s="1693"/>
      <c r="H83" s="1986"/>
      <c r="I83" s="1697"/>
      <c r="J83" s="1693"/>
      <c r="K83" s="1986"/>
      <c r="L83" s="369"/>
    </row>
    <row r="84" spans="1:12" s="360" customFormat="1" ht="4.5" customHeight="1" x14ac:dyDescent="0.25">
      <c r="A84" s="325"/>
      <c r="B84" s="429"/>
      <c r="C84" s="1328"/>
      <c r="D84" s="1328"/>
      <c r="E84" s="1328"/>
      <c r="F84" s="1328"/>
      <c r="G84" s="1328"/>
      <c r="H84" s="1328"/>
      <c r="I84" s="1328"/>
      <c r="J84" s="1328"/>
      <c r="K84" s="1328"/>
    </row>
    <row r="85" spans="1:12" x14ac:dyDescent="0.25">
      <c r="A85" s="2450" t="s">
        <v>921</v>
      </c>
      <c r="B85" s="2451"/>
      <c r="C85" s="2452">
        <f>IF(ISERROR(ROUND(C77/'A6-FinPos'!C19,3)),0,(ROUND(C77/'A6-FinPos'!C19,3)))</f>
        <v>0</v>
      </c>
      <c r="D85" s="2452">
        <f>IF(ISERROR(ROUND(D77/'A6-FinPos'!D19,3)),0,(ROUND(D77/'A6-FinPos'!D19,3)))</f>
        <v>1.6E-2</v>
      </c>
      <c r="E85" s="2453">
        <f>IF(ISERROR(ROUND(E77/'A6-FinPos'!E19,3)),0,(ROUND(E77/'A6-FinPos'!E19,3)))</f>
        <v>1.2E-2</v>
      </c>
      <c r="F85" s="2454">
        <f>IF(ISERROR(ROUND(F77/'A6-FinPos'!F19,3)),0,(ROUND(F77/'A6-FinPos'!F19,3)))</f>
        <v>8.9999999999999993E-3</v>
      </c>
      <c r="G85" s="2452">
        <f>IF(ISERROR(ROUND(G77/'A6-FinPos'!G19,3)),0,(ROUND(G77/'A6-FinPos'!G19,3)))</f>
        <v>7.0000000000000001E-3</v>
      </c>
      <c r="H85" s="2455">
        <f>IF(ISERROR(ROUND(H77/'A6-FinPos'!H19,3)),0,(ROUND(H77/'A6-FinPos'!H19,3)))</f>
        <v>7.0000000000000001E-3</v>
      </c>
      <c r="I85" s="2456">
        <f>IF(ISERROR(ROUND(I77/'A6-FinPos'!J19,3)),0,(ROUND(I77/'A6-FinPos'!J19,3)))</f>
        <v>1.0999999999999999E-2</v>
      </c>
      <c r="J85" s="2452">
        <f>IF(ISERROR(ROUND(J77/'A6-FinPos'!K19,3)),0,(ROUND(J77/'A6-FinPos'!K19,3)))</f>
        <v>1.0999999999999999E-2</v>
      </c>
      <c r="K85" s="2453">
        <f>IF(ISERROR(ROUND(K77/'A6-FinPos'!L19,3)),0,(ROUND(K77/'A6-FinPos'!L19,3)))</f>
        <v>1.0999999999999999E-2</v>
      </c>
      <c r="L85" s="369"/>
    </row>
    <row r="86" spans="1:12" x14ac:dyDescent="0.25">
      <c r="A86" s="2438" t="s">
        <v>2063</v>
      </c>
      <c r="B86" s="2439"/>
      <c r="C86" s="2440">
        <f>IF(ISERROR(ROUND(C77/'A1-Sum'!B18,3)),0,(ROUND(C77/'A1-Sum'!B18,3)))</f>
        <v>0</v>
      </c>
      <c r="D86" s="2440">
        <f>IF(ISERROR(ROUND(D77/'A1-Sum'!C18,3)),0,(ROUND(D77/'A1-Sum'!C18,3)))</f>
        <v>5.3999999999999999E-2</v>
      </c>
      <c r="E86" s="2441">
        <f>IF(ISERROR(ROUND(E77/'A1-Sum'!D18,3)),0,(ROUND(E77/'A1-Sum'!D18,3)))</f>
        <v>3.1E-2</v>
      </c>
      <c r="F86" s="2442">
        <f>IF(ISERROR(ROUND(F77/'A1-Sum'!E18,3)),0,(ROUND(F77/'A1-Sum'!E18,3)))</f>
        <v>3.3000000000000002E-2</v>
      </c>
      <c r="G86" s="2440">
        <f>IF(ISERROR(ROUND(G77/'A1-Sum'!F18,3)),0,(ROUND(G77/'A1-Sum'!F18,3)))</f>
        <v>3.5999999999999997E-2</v>
      </c>
      <c r="H86" s="2443">
        <f>IF(ISERROR(ROUND(H77/'A1-Sum'!G18,3)),0,(ROUND(H77/'A1-Sum'!G18,3)))</f>
        <v>3.5999999999999997E-2</v>
      </c>
      <c r="I86" s="2444">
        <f>IF(ISERROR(ROUND(I77/'A1-Sum'!I18,3)),0,(ROUND(I77/'A1-Sum'!I18,3)))</f>
        <v>0.03</v>
      </c>
      <c r="J86" s="2440">
        <f>IF(ISERROR(ROUND(J77/'A1-Sum'!J18,3)),0,(ROUND(J77/'A1-Sum'!J18,3)))</f>
        <v>0.03</v>
      </c>
      <c r="K86" s="2441">
        <f>IF(ISERROR(ROUND(K77/'A1-Sum'!K18,3)),0,(ROUND(K77/'A1-Sum'!K18,3)))</f>
        <v>0.03</v>
      </c>
      <c r="L86" s="369"/>
    </row>
    <row r="87" spans="1:12" s="708" customFormat="1" x14ac:dyDescent="0.25">
      <c r="A87" s="1257" t="str">
        <f>head27a</f>
        <v>References</v>
      </c>
      <c r="B87" s="1033"/>
      <c r="C87" s="1037"/>
      <c r="D87" s="1037"/>
      <c r="E87" s="1037"/>
      <c r="F87" s="1037"/>
      <c r="G87" s="1037"/>
      <c r="H87" s="1037"/>
      <c r="I87" s="1037"/>
      <c r="J87" s="1037"/>
      <c r="K87" s="1037"/>
      <c r="L87" s="1553"/>
    </row>
    <row r="88" spans="1:12" s="708" customFormat="1" ht="11.25" customHeight="1" x14ac:dyDescent="0.25">
      <c r="A88" s="1258" t="s">
        <v>1218</v>
      </c>
      <c r="B88" s="1033"/>
      <c r="C88" s="1036"/>
      <c r="D88" s="1036"/>
      <c r="E88" s="1037"/>
      <c r="F88" s="1037"/>
      <c r="G88" s="1037"/>
      <c r="H88" s="1037"/>
      <c r="I88" s="1037"/>
      <c r="J88" s="1037"/>
      <c r="K88" s="1037"/>
    </row>
    <row r="89" spans="1:12" s="708" customFormat="1" ht="11.25" customHeight="1" x14ac:dyDescent="0.25">
      <c r="A89" s="1258" t="s">
        <v>319</v>
      </c>
      <c r="B89" s="1033"/>
      <c r="C89" s="1036"/>
      <c r="D89" s="1036"/>
      <c r="E89" s="1037"/>
      <c r="F89" s="1037"/>
      <c r="G89" s="1037"/>
      <c r="H89" s="1037"/>
      <c r="I89" s="1037"/>
      <c r="J89" s="1037"/>
      <c r="K89" s="1037"/>
    </row>
    <row r="90" spans="1:12" s="708" customFormat="1" ht="11.25" customHeight="1" x14ac:dyDescent="0.25">
      <c r="A90" s="1258" t="s">
        <v>907</v>
      </c>
      <c r="B90" s="1033"/>
      <c r="C90" s="1036"/>
      <c r="D90" s="1036"/>
      <c r="E90" s="1037"/>
      <c r="F90" s="1037"/>
      <c r="G90" s="1037"/>
      <c r="H90" s="1037"/>
      <c r="I90" s="1037"/>
      <c r="J90" s="1037"/>
      <c r="K90" s="1037"/>
    </row>
    <row r="91" spans="1:12" s="708" customFormat="1" ht="11.25" customHeight="1" x14ac:dyDescent="0.25">
      <c r="A91" s="1258" t="s">
        <v>323</v>
      </c>
      <c r="B91" s="1033"/>
      <c r="C91" s="1036"/>
      <c r="D91" s="1036"/>
      <c r="E91" s="1037"/>
      <c r="F91" s="1037"/>
      <c r="G91" s="1037"/>
      <c r="H91" s="1037"/>
      <c r="I91" s="1037"/>
      <c r="J91" s="1037"/>
      <c r="K91" s="1037"/>
    </row>
    <row r="92" spans="1:12" s="708" customFormat="1" ht="11.25" customHeight="1" x14ac:dyDescent="0.25">
      <c r="A92" s="1258" t="s">
        <v>133</v>
      </c>
      <c r="B92" s="1033"/>
      <c r="C92" s="1036"/>
      <c r="D92" s="1036"/>
      <c r="E92" s="1037"/>
      <c r="F92" s="1037"/>
      <c r="G92" s="1037"/>
      <c r="H92" s="1037"/>
      <c r="I92" s="1037"/>
      <c r="J92" s="1037"/>
      <c r="K92" s="1037"/>
    </row>
    <row r="93" spans="1:12" s="708" customFormat="1" ht="11.25" customHeight="1" x14ac:dyDescent="0.25">
      <c r="A93" s="1258" t="s">
        <v>1648</v>
      </c>
      <c r="B93" s="1033"/>
      <c r="C93" s="1036"/>
      <c r="D93" s="1036"/>
      <c r="E93" s="1037"/>
      <c r="F93" s="1037"/>
      <c r="G93" s="1037"/>
      <c r="H93" s="1037"/>
      <c r="I93" s="1037"/>
      <c r="J93" s="1037"/>
      <c r="K93" s="1037"/>
    </row>
    <row r="94" spans="1:12" s="708" customFormat="1" ht="11.25" customHeight="1" x14ac:dyDescent="0.25">
      <c r="A94" s="1510" t="s">
        <v>33</v>
      </c>
      <c r="B94" s="1033"/>
      <c r="C94" s="1036"/>
      <c r="D94" s="1036"/>
      <c r="E94" s="1037"/>
      <c r="F94" s="1037"/>
      <c r="G94" s="1037"/>
      <c r="H94" s="1037"/>
      <c r="I94" s="1037"/>
      <c r="J94" s="1037"/>
      <c r="K94" s="1037"/>
    </row>
    <row r="95" spans="1:12" s="708" customFormat="1" ht="11.25" customHeight="1" x14ac:dyDescent="0.25">
      <c r="A95" s="1510" t="s">
        <v>1323</v>
      </c>
      <c r="B95" s="1033"/>
      <c r="C95" s="1036"/>
      <c r="D95" s="1036"/>
      <c r="E95" s="1037"/>
      <c r="F95" s="1037"/>
      <c r="G95" s="1037"/>
      <c r="H95" s="1037"/>
      <c r="I95" s="1037"/>
      <c r="J95" s="1037"/>
      <c r="K95" s="1037"/>
    </row>
    <row r="96" spans="1:12" s="708" customFormat="1" ht="11.25" customHeight="1" x14ac:dyDescent="0.25">
      <c r="A96" s="1510" t="s">
        <v>1324</v>
      </c>
      <c r="B96" s="1033"/>
      <c r="C96" s="1036"/>
      <c r="D96" s="1036"/>
      <c r="E96" s="1037"/>
      <c r="F96" s="1037"/>
      <c r="G96" s="1037"/>
      <c r="H96" s="1037"/>
      <c r="I96" s="1037"/>
      <c r="J96" s="1037"/>
      <c r="K96" s="1037"/>
    </row>
    <row r="97" spans="1:11" s="708" customFormat="1" ht="11.25" customHeight="1" x14ac:dyDescent="0.25">
      <c r="A97" s="1510" t="s">
        <v>386</v>
      </c>
      <c r="B97" s="1033"/>
      <c r="C97" s="1036"/>
      <c r="D97" s="1036"/>
      <c r="E97" s="1037"/>
      <c r="F97" s="1037"/>
      <c r="G97" s="1037"/>
      <c r="H97" s="1037"/>
      <c r="I97" s="1037"/>
      <c r="J97" s="1037"/>
      <c r="K97" s="1037"/>
    </row>
    <row r="98" spans="1:11" s="708" customFormat="1" ht="11.25" customHeight="1" x14ac:dyDescent="0.25">
      <c r="A98" s="1055"/>
      <c r="B98" s="1033"/>
      <c r="C98" s="1036"/>
      <c r="D98" s="1036"/>
      <c r="E98" s="1037"/>
      <c r="F98" s="1037"/>
      <c r="G98" s="1037"/>
      <c r="H98" s="1037"/>
      <c r="I98" s="1037"/>
      <c r="J98" s="1037"/>
      <c r="K98" s="1037"/>
    </row>
    <row r="99" spans="1:11" ht="11.25" customHeight="1" x14ac:dyDescent="0.25">
      <c r="A99" s="246"/>
      <c r="B99" s="236"/>
      <c r="C99" s="240"/>
      <c r="D99" s="240"/>
      <c r="E99" s="241"/>
      <c r="F99" s="241"/>
      <c r="G99" s="241"/>
      <c r="H99" s="241"/>
      <c r="I99" s="241"/>
      <c r="J99" s="241"/>
      <c r="K99" s="241"/>
    </row>
    <row r="100" spans="1:11" ht="11.25" customHeight="1" x14ac:dyDescent="0.25">
      <c r="A100" s="288" t="s">
        <v>295</v>
      </c>
      <c r="B100" s="243"/>
      <c r="C100" s="255">
        <f>C77-'SA1'!C160</f>
        <v>0</v>
      </c>
      <c r="D100" s="255">
        <f>D77-'SA1'!D160</f>
        <v>0</v>
      </c>
      <c r="E100" s="255">
        <f>E77-'SA1'!E160</f>
        <v>0</v>
      </c>
      <c r="F100" s="255">
        <f>F77-'SA1'!F160</f>
        <v>0</v>
      </c>
      <c r="G100" s="255">
        <f>G77-'SA1'!G160</f>
        <v>0</v>
      </c>
      <c r="H100" s="255">
        <f>H77-'SA1'!H160</f>
        <v>0</v>
      </c>
      <c r="I100" s="255">
        <f>I77-'SA1'!J160</f>
        <v>0</v>
      </c>
      <c r="J100" s="255">
        <f>J77-'SA1'!K160</f>
        <v>0</v>
      </c>
      <c r="K100" s="255">
        <f>K77-'SA1'!L160</f>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sheetProtection sheet="1" objects="1" scenarios="1"/>
  <customSheetViews>
    <customSheetView guid="{F50C5479-5CC4-4FD7-8319-543D29E829F0}" showGridLines="0">
      <pane xSplit="2" ySplit="3" topLeftCell="C72" activePane="bottomRight" state="frozen"/>
      <selection pane="bottomRight" activeCell="A88" sqref="A88:A97"/>
      <pageMargins left="0.75" right="0.75" top="1" bottom="1" header="0.5" footer="0.5"/>
      <pageSetup orientation="portrait" r:id="rId1"/>
      <headerFooter alignWithMargins="0"/>
    </customSheetView>
  </customSheetViews>
  <mergeCells count="2">
    <mergeCell ref="F2:H2"/>
    <mergeCell ref="I2:K2"/>
  </mergeCells>
  <phoneticPr fontId="2" type="noConversion"/>
  <pageMargins left="0.74803149606299213" right="0.74803149606299213" top="0.98425196850393704" bottom="0.98425196850393704" header="0.51181102362204722" footer="0.51181102362204722"/>
  <pageSetup scale="70" orientation="portrait"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sheetPr>
  <dimension ref="A1:O132"/>
  <sheetViews>
    <sheetView showGridLines="0" zoomScaleNormal="100" workbookViewId="0">
      <pane xSplit="2" ySplit="3" topLeftCell="C67" activePane="bottomRight" state="frozen"/>
      <selection pane="topRight"/>
      <selection pane="bottomLeft"/>
      <selection pane="bottomRight" activeCell="I97" sqref="I97"/>
    </sheetView>
  </sheetViews>
  <sheetFormatPr defaultRowHeight="12.75" x14ac:dyDescent="0.25"/>
  <cols>
    <col min="1" max="1" width="30.7109375" style="149" customWidth="1"/>
    <col min="2" max="2" width="3" style="247" customWidth="1"/>
    <col min="3" max="11" width="9.28515625" style="149" customWidth="1"/>
    <col min="12" max="12" width="9.7109375" style="149" customWidth="1"/>
    <col min="13" max="13" width="9.5703125" style="149" customWidth="1"/>
    <col min="14" max="14" width="9.85546875" style="149" customWidth="1"/>
    <col min="15" max="17" width="9.5703125" style="149" customWidth="1"/>
    <col min="18" max="18" width="9.85546875" style="149" customWidth="1"/>
    <col min="19" max="21" width="9.5703125" style="149" customWidth="1"/>
    <col min="22" max="23" width="9.85546875" style="149" customWidth="1"/>
    <col min="24" max="16384" width="9.140625" style="149"/>
  </cols>
  <sheetData>
    <row r="1" spans="1:12" ht="13.5" customHeight="1" x14ac:dyDescent="0.25">
      <c r="A1" s="147" t="str">
        <f>muni&amp;" - "&amp;TableA34d</f>
        <v>MP315 Thembisile Hani - Supporting Table SA34d Depreciation by asset class</v>
      </c>
      <c r="B1" s="147"/>
      <c r="C1" s="147"/>
      <c r="D1" s="147"/>
      <c r="E1" s="147"/>
      <c r="F1" s="147"/>
      <c r="G1" s="147"/>
      <c r="H1" s="147"/>
      <c r="I1" s="147"/>
      <c r="J1" s="147"/>
      <c r="K1" s="147"/>
    </row>
    <row r="2" spans="1:12" ht="28.5" customHeight="1" x14ac:dyDescent="0.25">
      <c r="A2" s="980" t="str">
        <f>desc</f>
        <v>Description</v>
      </c>
      <c r="B2" s="418" t="str">
        <f>head27</f>
        <v>Ref</v>
      </c>
      <c r="C2" s="150" t="str">
        <f>head1b</f>
        <v>2011/12</v>
      </c>
      <c r="D2" s="751" t="str">
        <f>head1A</f>
        <v>2012/13</v>
      </c>
      <c r="E2" s="146" t="str">
        <f>Head1</f>
        <v>2013/14</v>
      </c>
      <c r="F2" s="2766" t="str">
        <f>Head2</f>
        <v>Current Year 2014/15</v>
      </c>
      <c r="G2" s="2767"/>
      <c r="H2" s="2767"/>
      <c r="I2" s="2763" t="str">
        <f>Head3</f>
        <v>2015/16 Medium Term Revenue &amp; Expenditure Framework</v>
      </c>
      <c r="J2" s="2764"/>
      <c r="K2" s="2765"/>
    </row>
    <row r="3" spans="1:12" ht="25.5" x14ac:dyDescent="0.25">
      <c r="A3" s="180" t="s">
        <v>662</v>
      </c>
      <c r="B3" s="981">
        <v>1</v>
      </c>
      <c r="C3" s="389" t="str">
        <f>Head5</f>
        <v>Audited Outcome</v>
      </c>
      <c r="D3" s="994" t="str">
        <f>Head5</f>
        <v>Audited Outcome</v>
      </c>
      <c r="E3" s="390" t="str">
        <f>Head5</f>
        <v>Audited Outcome</v>
      </c>
      <c r="F3" s="299" t="str">
        <f>Head6</f>
        <v>Original Budget</v>
      </c>
      <c r="G3" s="389" t="str">
        <f>Head7</f>
        <v>Adjusted Budget</v>
      </c>
      <c r="H3" s="388" t="str">
        <f>Head8</f>
        <v>Full Year Forecast</v>
      </c>
      <c r="I3" s="299" t="str">
        <f>Head9</f>
        <v>Budget Year 2015/16</v>
      </c>
      <c r="J3" s="389" t="str">
        <f>Head10</f>
        <v>Budget Year +1 2016/17</v>
      </c>
      <c r="K3" s="390" t="str">
        <f>Head11</f>
        <v>Budget Year +2 2017/18</v>
      </c>
    </row>
    <row r="4" spans="1:12" ht="11.25" customHeight="1" x14ac:dyDescent="0.25">
      <c r="A4" s="856" t="s">
        <v>2035</v>
      </c>
      <c r="B4" s="744"/>
      <c r="C4" s="1095"/>
      <c r="D4" s="311"/>
      <c r="E4" s="314"/>
      <c r="F4" s="313"/>
      <c r="G4" s="311"/>
      <c r="H4" s="312"/>
      <c r="I4" s="313"/>
      <c r="J4" s="311"/>
      <c r="K4" s="314"/>
      <c r="L4" s="369"/>
    </row>
    <row r="5" spans="1:12" ht="5.0999999999999996" customHeight="1" x14ac:dyDescent="0.25">
      <c r="A5" s="249"/>
      <c r="B5" s="182"/>
      <c r="C5" s="315"/>
      <c r="D5" s="315"/>
      <c r="E5" s="318"/>
      <c r="F5" s="317"/>
      <c r="G5" s="315"/>
      <c r="H5" s="316"/>
      <c r="I5" s="317"/>
      <c r="J5" s="315"/>
      <c r="K5" s="318"/>
      <c r="L5" s="369"/>
    </row>
    <row r="6" spans="1:12" ht="11.25" customHeight="1" x14ac:dyDescent="0.25">
      <c r="A6" s="249" t="s">
        <v>969</v>
      </c>
      <c r="B6" s="182"/>
      <c r="C6" s="393">
        <f>C7+C10+C14+C18+C21</f>
        <v>64066096</v>
      </c>
      <c r="D6" s="393">
        <f t="shared" ref="D6:K6" si="0">D7+D10+D14+D18+D21</f>
        <v>129213727</v>
      </c>
      <c r="E6" s="345">
        <f t="shared" si="0"/>
        <v>105254898</v>
      </c>
      <c r="F6" s="394">
        <f t="shared" si="0"/>
        <v>174084397.24000001</v>
      </c>
      <c r="G6" s="393">
        <f t="shared" si="0"/>
        <v>0</v>
      </c>
      <c r="H6" s="395">
        <f t="shared" si="0"/>
        <v>0</v>
      </c>
      <c r="I6" s="394">
        <f t="shared" si="0"/>
        <v>105254900</v>
      </c>
      <c r="J6" s="393">
        <f t="shared" si="0"/>
        <v>111464939.09999999</v>
      </c>
      <c r="K6" s="345">
        <f t="shared" si="0"/>
        <v>117706975.68960001</v>
      </c>
      <c r="L6" s="1551"/>
    </row>
    <row r="7" spans="1:12" s="1527" customFormat="1" ht="13.5" x14ac:dyDescent="0.25">
      <c r="A7" s="250" t="s">
        <v>533</v>
      </c>
      <c r="B7" s="182"/>
      <c r="C7" s="1106">
        <f>SUM(C8:C9)</f>
        <v>0</v>
      </c>
      <c r="D7" s="1106">
        <f t="shared" ref="D7:K7" si="1">SUM(D8:D9)</f>
        <v>129213727</v>
      </c>
      <c r="E7" s="1419">
        <f t="shared" si="1"/>
        <v>0</v>
      </c>
      <c r="F7" s="1107">
        <f t="shared" si="1"/>
        <v>0</v>
      </c>
      <c r="G7" s="1106">
        <f t="shared" si="1"/>
        <v>0</v>
      </c>
      <c r="H7" s="1143">
        <f t="shared" si="1"/>
        <v>0</v>
      </c>
      <c r="I7" s="1420">
        <f t="shared" si="1"/>
        <v>0</v>
      </c>
      <c r="J7" s="1106">
        <f t="shared" si="1"/>
        <v>0</v>
      </c>
      <c r="K7" s="1143">
        <f t="shared" si="1"/>
        <v>0</v>
      </c>
      <c r="L7" s="369"/>
    </row>
    <row r="8" spans="1:12" s="1527" customFormat="1" ht="13.5" x14ac:dyDescent="0.25">
      <c r="A8" s="1285" t="s">
        <v>534</v>
      </c>
      <c r="B8" s="182"/>
      <c r="C8" s="1606"/>
      <c r="D8" s="1606">
        <v>129213727</v>
      </c>
      <c r="E8" s="1628"/>
      <c r="F8" s="1629"/>
      <c r="G8" s="1606"/>
      <c r="H8" s="1630"/>
      <c r="I8" s="1629"/>
      <c r="J8" s="1606"/>
      <c r="K8" s="1628"/>
      <c r="L8" s="1551"/>
    </row>
    <row r="9" spans="1:12" s="1527" customFormat="1" ht="13.5" x14ac:dyDescent="0.25">
      <c r="A9" s="1285" t="s">
        <v>535</v>
      </c>
      <c r="B9" s="182"/>
      <c r="C9" s="1606"/>
      <c r="D9" s="1606"/>
      <c r="E9" s="1628"/>
      <c r="F9" s="1629"/>
      <c r="G9" s="1606"/>
      <c r="H9" s="1630"/>
      <c r="I9" s="1629"/>
      <c r="J9" s="1606"/>
      <c r="K9" s="1628"/>
      <c r="L9" s="1552"/>
    </row>
    <row r="10" spans="1:12" s="1527" customFormat="1" ht="13.5" x14ac:dyDescent="0.25">
      <c r="A10" s="250" t="s">
        <v>21</v>
      </c>
      <c r="B10" s="182"/>
      <c r="C10" s="1059">
        <f>SUM(C11:C13)</f>
        <v>0</v>
      </c>
      <c r="D10" s="1059">
        <f t="shared" ref="D10:K10" si="2">SUM(D11:D13)</f>
        <v>0</v>
      </c>
      <c r="E10" s="1421">
        <f t="shared" si="2"/>
        <v>0</v>
      </c>
      <c r="F10" s="1063">
        <f t="shared" si="2"/>
        <v>0</v>
      </c>
      <c r="G10" s="1059">
        <f t="shared" si="2"/>
        <v>0</v>
      </c>
      <c r="H10" s="1146">
        <f t="shared" si="2"/>
        <v>0</v>
      </c>
      <c r="I10" s="1422">
        <f t="shared" si="2"/>
        <v>0</v>
      </c>
      <c r="J10" s="1059">
        <f t="shared" si="2"/>
        <v>0</v>
      </c>
      <c r="K10" s="1146">
        <f t="shared" si="2"/>
        <v>0</v>
      </c>
      <c r="L10" s="1552"/>
    </row>
    <row r="11" spans="1:12" s="1527" customFormat="1" ht="13.5" x14ac:dyDescent="0.25">
      <c r="A11" s="1285" t="s">
        <v>22</v>
      </c>
      <c r="B11" s="182"/>
      <c r="C11" s="1606"/>
      <c r="D11" s="1606"/>
      <c r="E11" s="1607"/>
      <c r="F11" s="1608"/>
      <c r="G11" s="1606"/>
      <c r="H11" s="1609"/>
      <c r="I11" s="1610"/>
      <c r="J11" s="1606"/>
      <c r="K11" s="1609"/>
      <c r="L11" s="1552"/>
    </row>
    <row r="12" spans="1:12" s="1527" customFormat="1" ht="13.5" x14ac:dyDescent="0.25">
      <c r="A12" s="1285" t="s">
        <v>23</v>
      </c>
      <c r="B12" s="182"/>
      <c r="C12" s="1606"/>
      <c r="D12" s="1606"/>
      <c r="E12" s="1607"/>
      <c r="F12" s="1608"/>
      <c r="G12" s="1606"/>
      <c r="H12" s="1609"/>
      <c r="I12" s="1610"/>
      <c r="J12" s="1606"/>
      <c r="K12" s="1609"/>
      <c r="L12" s="1552"/>
    </row>
    <row r="13" spans="1:12" s="1527" customFormat="1" ht="13.5" x14ac:dyDescent="0.25">
      <c r="A13" s="1285" t="s">
        <v>137</v>
      </c>
      <c r="B13" s="182"/>
      <c r="C13" s="1606"/>
      <c r="D13" s="1606"/>
      <c r="E13" s="1607"/>
      <c r="F13" s="1608"/>
      <c r="G13" s="1606"/>
      <c r="H13" s="1609"/>
      <c r="I13" s="1610"/>
      <c r="J13" s="1606"/>
      <c r="K13" s="1609"/>
      <c r="L13" s="1552"/>
    </row>
    <row r="14" spans="1:12" s="1527" customFormat="1" ht="13.5" x14ac:dyDescent="0.25">
      <c r="A14" s="254" t="s">
        <v>24</v>
      </c>
      <c r="B14" s="350"/>
      <c r="C14" s="1059">
        <f>SUM(C15:C17)</f>
        <v>0</v>
      </c>
      <c r="D14" s="1059">
        <f t="shared" ref="D14:K14" si="3">SUM(D15:D17)</f>
        <v>0</v>
      </c>
      <c r="E14" s="1421">
        <f t="shared" si="3"/>
        <v>0</v>
      </c>
      <c r="F14" s="1063">
        <f t="shared" si="3"/>
        <v>0</v>
      </c>
      <c r="G14" s="1059">
        <f t="shared" si="3"/>
        <v>0</v>
      </c>
      <c r="H14" s="1146">
        <f t="shared" si="3"/>
        <v>0</v>
      </c>
      <c r="I14" s="1422">
        <f t="shared" si="3"/>
        <v>0</v>
      </c>
      <c r="J14" s="1059">
        <f t="shared" si="3"/>
        <v>0</v>
      </c>
      <c r="K14" s="1146">
        <f t="shared" si="3"/>
        <v>0</v>
      </c>
      <c r="L14" s="1552"/>
    </row>
    <row r="15" spans="1:12" s="1527" customFormat="1" ht="13.5" x14ac:dyDescent="0.25">
      <c r="A15" s="1285" t="s">
        <v>25</v>
      </c>
      <c r="B15" s="182"/>
      <c r="C15" s="1606"/>
      <c r="D15" s="1606"/>
      <c r="E15" s="1607"/>
      <c r="F15" s="1608"/>
      <c r="G15" s="1606"/>
      <c r="H15" s="1609"/>
      <c r="I15" s="1610"/>
      <c r="J15" s="1606"/>
      <c r="K15" s="1609"/>
      <c r="L15" s="1552"/>
    </row>
    <row r="16" spans="1:12" s="1527" customFormat="1" ht="13.5" x14ac:dyDescent="0.25">
      <c r="A16" s="1285" t="s">
        <v>26</v>
      </c>
      <c r="B16" s="182"/>
      <c r="C16" s="1606"/>
      <c r="D16" s="1606"/>
      <c r="E16" s="1607"/>
      <c r="F16" s="1608"/>
      <c r="G16" s="1606"/>
      <c r="H16" s="1609"/>
      <c r="I16" s="1610"/>
      <c r="J16" s="1606"/>
      <c r="K16" s="1609"/>
      <c r="L16" s="1552"/>
    </row>
    <row r="17" spans="1:12" s="1527" customFormat="1" ht="13.5" x14ac:dyDescent="0.25">
      <c r="A17" s="1285" t="s">
        <v>27</v>
      </c>
      <c r="B17" s="182"/>
      <c r="C17" s="1606"/>
      <c r="D17" s="1606"/>
      <c r="E17" s="1607"/>
      <c r="F17" s="1608"/>
      <c r="G17" s="1606"/>
      <c r="H17" s="1609"/>
      <c r="I17" s="1610"/>
      <c r="J17" s="1606"/>
      <c r="K17" s="1609"/>
      <c r="L17" s="1552"/>
    </row>
    <row r="18" spans="1:12" s="1527" customFormat="1" ht="13.5" x14ac:dyDescent="0.25">
      <c r="A18" s="254" t="s">
        <v>28</v>
      </c>
      <c r="B18" s="182"/>
      <c r="C18" s="1059">
        <f t="shared" ref="C18:K18" si="4">SUM(C19:C20)</f>
        <v>0</v>
      </c>
      <c r="D18" s="1059">
        <f t="shared" si="4"/>
        <v>0</v>
      </c>
      <c r="E18" s="1421">
        <f t="shared" si="4"/>
        <v>0</v>
      </c>
      <c r="F18" s="1063">
        <f t="shared" si="4"/>
        <v>0</v>
      </c>
      <c r="G18" s="1059">
        <f t="shared" si="4"/>
        <v>0</v>
      </c>
      <c r="H18" s="1146">
        <f t="shared" si="4"/>
        <v>0</v>
      </c>
      <c r="I18" s="1422">
        <f t="shared" si="4"/>
        <v>0</v>
      </c>
      <c r="J18" s="1059">
        <f t="shared" si="4"/>
        <v>0</v>
      </c>
      <c r="K18" s="1146">
        <f t="shared" si="4"/>
        <v>0</v>
      </c>
      <c r="L18" s="1552"/>
    </row>
    <row r="19" spans="1:12" s="1527" customFormat="1" ht="13.5" x14ac:dyDescent="0.25">
      <c r="A19" s="1285" t="s">
        <v>27</v>
      </c>
      <c r="B19" s="182"/>
      <c r="C19" s="1606"/>
      <c r="D19" s="1606"/>
      <c r="E19" s="1607"/>
      <c r="F19" s="1608"/>
      <c r="G19" s="1606"/>
      <c r="H19" s="1609"/>
      <c r="I19" s="1610"/>
      <c r="J19" s="1606"/>
      <c r="K19" s="1609"/>
      <c r="L19" s="1552"/>
    </row>
    <row r="20" spans="1:12" s="1527" customFormat="1" ht="13.5" x14ac:dyDescent="0.25">
      <c r="A20" s="1285" t="s">
        <v>29</v>
      </c>
      <c r="B20" s="182"/>
      <c r="C20" s="1606"/>
      <c r="D20" s="1606"/>
      <c r="E20" s="1607"/>
      <c r="F20" s="1608"/>
      <c r="G20" s="1606"/>
      <c r="H20" s="1609"/>
      <c r="I20" s="1610"/>
      <c r="J20" s="1606"/>
      <c r="K20" s="1609"/>
      <c r="L20" s="1552"/>
    </row>
    <row r="21" spans="1:12" s="1527" customFormat="1" ht="13.5" x14ac:dyDescent="0.25">
      <c r="A21" s="250" t="s">
        <v>30</v>
      </c>
      <c r="B21" s="182"/>
      <c r="C21" s="1059">
        <f>SUM(C22:C25)</f>
        <v>64066096</v>
      </c>
      <c r="D21" s="1059">
        <f t="shared" ref="D21:K21" si="5">SUM(D22:D25)</f>
        <v>0</v>
      </c>
      <c r="E21" s="1059">
        <f t="shared" si="5"/>
        <v>105254898</v>
      </c>
      <c r="F21" s="1063">
        <f t="shared" si="5"/>
        <v>174084397.24000001</v>
      </c>
      <c r="G21" s="1059">
        <f t="shared" si="5"/>
        <v>0</v>
      </c>
      <c r="H21" s="1146">
        <f t="shared" si="5"/>
        <v>0</v>
      </c>
      <c r="I21" s="1422">
        <f t="shared" si="5"/>
        <v>105254900</v>
      </c>
      <c r="J21" s="1059">
        <f t="shared" si="5"/>
        <v>111464939.09999999</v>
      </c>
      <c r="K21" s="1146">
        <f t="shared" si="5"/>
        <v>117706975.68960001</v>
      </c>
      <c r="L21" s="1552"/>
    </row>
    <row r="22" spans="1:12" s="1527" customFormat="1" ht="13.5" x14ac:dyDescent="0.25">
      <c r="A22" s="1285" t="s">
        <v>1078</v>
      </c>
      <c r="B22" s="182"/>
      <c r="C22" s="1606"/>
      <c r="D22" s="1606"/>
      <c r="E22" s="1630"/>
      <c r="F22" s="1629"/>
      <c r="G22" s="1606"/>
      <c r="H22" s="1630"/>
      <c r="I22" s="1629"/>
      <c r="J22" s="1606"/>
      <c r="K22" s="1609"/>
      <c r="L22" s="1551"/>
    </row>
    <row r="23" spans="1:12" s="1527" customFormat="1" ht="13.5" x14ac:dyDescent="0.25">
      <c r="A23" s="1285" t="s">
        <v>320</v>
      </c>
      <c r="B23" s="182">
        <v>2</v>
      </c>
      <c r="C23" s="1606"/>
      <c r="D23" s="1606"/>
      <c r="E23" s="1628"/>
      <c r="F23" s="1629"/>
      <c r="G23" s="1606"/>
      <c r="H23" s="1630"/>
      <c r="I23" s="1629"/>
      <c r="J23" s="1606"/>
      <c r="K23" s="1609"/>
      <c r="L23" s="1552"/>
    </row>
    <row r="24" spans="1:12" s="1527" customFormat="1" ht="13.5" x14ac:dyDescent="0.25">
      <c r="A24" s="1285" t="s">
        <v>138</v>
      </c>
      <c r="B24" s="182"/>
      <c r="C24" s="1606"/>
      <c r="D24" s="1606"/>
      <c r="E24" s="1628"/>
      <c r="F24" s="1629"/>
      <c r="G24" s="1606"/>
      <c r="H24" s="1630"/>
      <c r="I24" s="1629"/>
      <c r="J24" s="1606"/>
      <c r="K24" s="1628"/>
      <c r="L24" s="1552"/>
    </row>
    <row r="25" spans="1:12" s="1527" customFormat="1" ht="13.5" x14ac:dyDescent="0.25">
      <c r="A25" s="1285" t="s">
        <v>292</v>
      </c>
      <c r="B25" s="182">
        <v>3</v>
      </c>
      <c r="C25" s="1606">
        <v>64066096</v>
      </c>
      <c r="D25" s="1606"/>
      <c r="E25" s="1628">
        <v>105254898</v>
      </c>
      <c r="F25" s="1629">
        <v>174084397.24000001</v>
      </c>
      <c r="G25" s="1606"/>
      <c r="H25" s="1630"/>
      <c r="I25" s="1629">
        <f>A3A!I197</f>
        <v>105254900</v>
      </c>
      <c r="J25" s="1606">
        <f>I25*1.059</f>
        <v>111464939.09999999</v>
      </c>
      <c r="K25" s="1628">
        <f>J25*1.056</f>
        <v>117706975.68960001</v>
      </c>
      <c r="L25" s="1552"/>
    </row>
    <row r="26" spans="1:12" ht="5.0999999999999996" customHeight="1" x14ac:dyDescent="0.25">
      <c r="A26" s="273"/>
      <c r="B26" s="182"/>
      <c r="C26" s="203"/>
      <c r="D26" s="203"/>
      <c r="E26" s="204"/>
      <c r="F26" s="205"/>
      <c r="G26" s="203"/>
      <c r="H26" s="202"/>
      <c r="I26" s="205"/>
      <c r="J26" s="203"/>
      <c r="K26" s="204"/>
      <c r="L26" s="369"/>
    </row>
    <row r="27" spans="1:12" ht="17.25" customHeight="1" x14ac:dyDescent="0.25">
      <c r="A27" s="249" t="s">
        <v>1556</v>
      </c>
      <c r="B27" s="182"/>
      <c r="C27" s="218">
        <f>SUM(C28:C41)</f>
        <v>0</v>
      </c>
      <c r="D27" s="218">
        <f t="shared" ref="D27:K27" si="6">SUM(D28:D41)</f>
        <v>9063752</v>
      </c>
      <c r="E27" s="219">
        <f t="shared" si="6"/>
        <v>8569949</v>
      </c>
      <c r="F27" s="220">
        <f t="shared" si="6"/>
        <v>0</v>
      </c>
      <c r="G27" s="218">
        <f t="shared" si="6"/>
        <v>15000000</v>
      </c>
      <c r="H27" s="217">
        <f t="shared" si="6"/>
        <v>15000000</v>
      </c>
      <c r="I27" s="220">
        <f t="shared" si="6"/>
        <v>15720000</v>
      </c>
      <c r="J27" s="218">
        <f t="shared" si="6"/>
        <v>16647480</v>
      </c>
      <c r="K27" s="219">
        <f t="shared" si="6"/>
        <v>17579738.880000003</v>
      </c>
      <c r="L27" s="369"/>
    </row>
    <row r="28" spans="1:12" ht="11.25" customHeight="1" x14ac:dyDescent="0.25">
      <c r="A28" s="250" t="s">
        <v>2</v>
      </c>
      <c r="B28" s="182"/>
      <c r="C28" s="1611"/>
      <c r="D28" s="1611"/>
      <c r="E28" s="1889"/>
      <c r="F28" s="1959"/>
      <c r="G28" s="1611"/>
      <c r="H28" s="1979"/>
      <c r="I28" s="1959"/>
      <c r="J28" s="1611"/>
      <c r="K28" s="1889"/>
      <c r="L28" s="1552"/>
    </row>
    <row r="29" spans="1:12" ht="11.25" customHeight="1" x14ac:dyDescent="0.25">
      <c r="A29" s="250" t="s">
        <v>1576</v>
      </c>
      <c r="B29" s="182"/>
      <c r="C29" s="1606"/>
      <c r="D29" s="1606"/>
      <c r="E29" s="1628"/>
      <c r="F29" s="1629"/>
      <c r="G29" s="1606"/>
      <c r="H29" s="1630"/>
      <c r="I29" s="1629"/>
      <c r="J29" s="1606"/>
      <c r="K29" s="1628"/>
      <c r="L29" s="1552"/>
    </row>
    <row r="30" spans="1:12" ht="11.25" customHeight="1" x14ac:dyDescent="0.25">
      <c r="A30" s="250" t="s">
        <v>503</v>
      </c>
      <c r="B30" s="182"/>
      <c r="C30" s="1606"/>
      <c r="D30" s="1606"/>
      <c r="E30" s="1628"/>
      <c r="F30" s="1629"/>
      <c r="G30" s="1606"/>
      <c r="H30" s="1630"/>
      <c r="I30" s="1629"/>
      <c r="J30" s="1606"/>
      <c r="K30" s="1628"/>
      <c r="L30" s="1552"/>
    </row>
    <row r="31" spans="1:12" ht="11.25" customHeight="1" x14ac:dyDescent="0.25">
      <c r="A31" s="250" t="s">
        <v>1</v>
      </c>
      <c r="B31" s="182"/>
      <c r="C31" s="1606"/>
      <c r="D31" s="1606"/>
      <c r="E31" s="1628"/>
      <c r="F31" s="1629"/>
      <c r="G31" s="1606"/>
      <c r="H31" s="1630"/>
      <c r="I31" s="1629"/>
      <c r="J31" s="1606"/>
      <c r="K31" s="1628"/>
      <c r="L31" s="1552"/>
    </row>
    <row r="32" spans="1:12" ht="11.25" customHeight="1" x14ac:dyDescent="0.25">
      <c r="A32" s="250" t="s">
        <v>339</v>
      </c>
      <c r="B32" s="182"/>
      <c r="C32" s="1606"/>
      <c r="D32" s="1606"/>
      <c r="E32" s="1628"/>
      <c r="F32" s="1629"/>
      <c r="G32" s="1606"/>
      <c r="H32" s="1630"/>
      <c r="I32" s="1629"/>
      <c r="J32" s="1606"/>
      <c r="K32" s="1628"/>
      <c r="L32" s="1552"/>
    </row>
    <row r="33" spans="1:15" ht="11.25" customHeight="1" x14ac:dyDescent="0.25">
      <c r="A33" s="250" t="s">
        <v>0</v>
      </c>
      <c r="B33" s="182"/>
      <c r="C33" s="1606"/>
      <c r="D33" s="1606"/>
      <c r="E33" s="1628"/>
      <c r="F33" s="1629"/>
      <c r="G33" s="1606"/>
      <c r="H33" s="1630"/>
      <c r="I33" s="1629"/>
      <c r="J33" s="1606"/>
      <c r="K33" s="1628"/>
      <c r="L33" s="1552"/>
    </row>
    <row r="34" spans="1:15" ht="11.25" customHeight="1" x14ac:dyDescent="0.25">
      <c r="A34" s="250" t="s">
        <v>1577</v>
      </c>
      <c r="B34" s="182"/>
      <c r="C34" s="1606"/>
      <c r="D34" s="1606"/>
      <c r="E34" s="1628"/>
      <c r="F34" s="1629"/>
      <c r="G34" s="1606"/>
      <c r="H34" s="1630"/>
      <c r="I34" s="1629"/>
      <c r="J34" s="1606"/>
      <c r="K34" s="1628"/>
      <c r="L34" s="1552"/>
    </row>
    <row r="35" spans="1:15" ht="11.25" customHeight="1" x14ac:dyDescent="0.25">
      <c r="A35" s="250" t="s">
        <v>954</v>
      </c>
      <c r="B35" s="182"/>
      <c r="C35" s="1606"/>
      <c r="D35" s="1606"/>
      <c r="E35" s="1628"/>
      <c r="F35" s="1629"/>
      <c r="G35" s="1606"/>
      <c r="H35" s="1630"/>
      <c r="I35" s="1629"/>
      <c r="J35" s="1606"/>
      <c r="K35" s="1628"/>
      <c r="L35" s="1552"/>
    </row>
    <row r="36" spans="1:15" ht="11.25" customHeight="1" x14ac:dyDescent="0.25">
      <c r="A36" s="250" t="s">
        <v>1512</v>
      </c>
      <c r="B36" s="182">
        <v>7</v>
      </c>
      <c r="C36" s="1606"/>
      <c r="D36" s="1606"/>
      <c r="E36" s="1628"/>
      <c r="F36" s="1629"/>
      <c r="G36" s="1606"/>
      <c r="H36" s="1630"/>
      <c r="I36" s="1629"/>
      <c r="J36" s="1606"/>
      <c r="K36" s="1628"/>
      <c r="L36" s="1552"/>
    </row>
    <row r="37" spans="1:15" ht="11.25" customHeight="1" x14ac:dyDescent="0.25">
      <c r="A37" s="250" t="s">
        <v>1273</v>
      </c>
      <c r="B37" s="182"/>
      <c r="C37" s="1606"/>
      <c r="D37" s="1606"/>
      <c r="E37" s="1628"/>
      <c r="F37" s="1629"/>
      <c r="G37" s="1606"/>
      <c r="H37" s="1630"/>
      <c r="I37" s="1629"/>
      <c r="J37" s="1606"/>
      <c r="K37" s="1628"/>
      <c r="L37" s="1552"/>
      <c r="O37" s="369"/>
    </row>
    <row r="38" spans="1:15" ht="11.25" customHeight="1" x14ac:dyDescent="0.25">
      <c r="A38" s="250" t="s">
        <v>719</v>
      </c>
      <c r="B38" s="182"/>
      <c r="C38" s="1606"/>
      <c r="D38" s="1606"/>
      <c r="E38" s="1628"/>
      <c r="F38" s="1629"/>
      <c r="G38" s="1606"/>
      <c r="H38" s="1630"/>
      <c r="I38" s="1629"/>
      <c r="J38" s="1606"/>
      <c r="K38" s="1628"/>
      <c r="L38" s="1552"/>
    </row>
    <row r="39" spans="1:15" ht="11.25" customHeight="1" x14ac:dyDescent="0.25">
      <c r="A39" s="250" t="s">
        <v>501</v>
      </c>
      <c r="B39" s="182"/>
      <c r="C39" s="1606"/>
      <c r="D39" s="1606"/>
      <c r="E39" s="1628"/>
      <c r="F39" s="1629"/>
      <c r="G39" s="1606"/>
      <c r="H39" s="1630"/>
      <c r="I39" s="1629"/>
      <c r="J39" s="1606"/>
      <c r="K39" s="1628"/>
      <c r="L39" s="1552"/>
    </row>
    <row r="40" spans="1:15" ht="11.25" customHeight="1" x14ac:dyDescent="0.25">
      <c r="A40" s="250" t="s">
        <v>31</v>
      </c>
      <c r="B40" s="182">
        <v>8</v>
      </c>
      <c r="C40" s="1606"/>
      <c r="D40" s="1606"/>
      <c r="E40" s="1628"/>
      <c r="F40" s="1629"/>
      <c r="G40" s="1606"/>
      <c r="H40" s="1630"/>
      <c r="I40" s="1629"/>
      <c r="J40" s="1606"/>
      <c r="K40" s="1628"/>
      <c r="L40" s="369"/>
    </row>
    <row r="41" spans="1:15" ht="11.25" customHeight="1" x14ac:dyDescent="0.25">
      <c r="A41" s="250" t="s">
        <v>292</v>
      </c>
      <c r="B41" s="182"/>
      <c r="C41" s="1651"/>
      <c r="D41" s="1651">
        <v>9063752</v>
      </c>
      <c r="E41" s="1652">
        <v>8569949</v>
      </c>
      <c r="F41" s="1653"/>
      <c r="G41" s="1651">
        <v>15000000</v>
      </c>
      <c r="H41" s="1654">
        <v>15000000</v>
      </c>
      <c r="I41" s="1653">
        <f>A3A!I198</f>
        <v>15720000</v>
      </c>
      <c r="J41" s="1651">
        <f>I41*1.059</f>
        <v>16647480</v>
      </c>
      <c r="K41" s="1652">
        <f>J41*1.056</f>
        <v>17579738.880000003</v>
      </c>
      <c r="L41" s="1552"/>
    </row>
    <row r="42" spans="1:15" ht="5.0999999999999996" customHeight="1" x14ac:dyDescent="0.25">
      <c r="A42" s="273"/>
      <c r="B42" s="182"/>
      <c r="C42" s="203"/>
      <c r="D42" s="203"/>
      <c r="E42" s="204"/>
      <c r="F42" s="205"/>
      <c r="G42" s="203"/>
      <c r="H42" s="202"/>
      <c r="I42" s="205"/>
      <c r="J42" s="203"/>
      <c r="K42" s="204"/>
      <c r="L42" s="369"/>
    </row>
    <row r="43" spans="1:15" ht="17.25" customHeight="1" x14ac:dyDescent="0.25">
      <c r="A43" s="249" t="s">
        <v>957</v>
      </c>
      <c r="B43" s="182"/>
      <c r="C43" s="203">
        <f>SUM(C44:C45)</f>
        <v>0</v>
      </c>
      <c r="D43" s="203">
        <f t="shared" ref="D43:K43" si="7">SUM(D44:D45)</f>
        <v>0</v>
      </c>
      <c r="E43" s="204">
        <f t="shared" si="7"/>
        <v>0</v>
      </c>
      <c r="F43" s="205">
        <f t="shared" si="7"/>
        <v>0</v>
      </c>
      <c r="G43" s="203">
        <f t="shared" si="7"/>
        <v>0</v>
      </c>
      <c r="H43" s="202">
        <f t="shared" si="7"/>
        <v>0</v>
      </c>
      <c r="I43" s="205">
        <f t="shared" si="7"/>
        <v>0</v>
      </c>
      <c r="J43" s="203">
        <f t="shared" si="7"/>
        <v>0</v>
      </c>
      <c r="K43" s="204">
        <f t="shared" si="7"/>
        <v>0</v>
      </c>
      <c r="L43" s="369"/>
    </row>
    <row r="44" spans="1:15" ht="11.25" customHeight="1" x14ac:dyDescent="0.25">
      <c r="A44" s="250" t="s">
        <v>1245</v>
      </c>
      <c r="B44" s="182"/>
      <c r="C44" s="1616"/>
      <c r="D44" s="1616"/>
      <c r="E44" s="1980"/>
      <c r="F44" s="1981"/>
      <c r="G44" s="1616"/>
      <c r="H44" s="1982"/>
      <c r="I44" s="1981"/>
      <c r="J44" s="1616"/>
      <c r="K44" s="1980"/>
      <c r="L44" s="369"/>
    </row>
    <row r="45" spans="1:15" ht="11.25" customHeight="1" x14ac:dyDescent="0.25">
      <c r="A45" s="254" t="s">
        <v>292</v>
      </c>
      <c r="B45" s="182">
        <v>9</v>
      </c>
      <c r="C45" s="1646"/>
      <c r="D45" s="1646"/>
      <c r="E45" s="1983"/>
      <c r="F45" s="1984"/>
      <c r="G45" s="1646"/>
      <c r="H45" s="1985"/>
      <c r="I45" s="1984"/>
      <c r="J45" s="1646"/>
      <c r="K45" s="1983"/>
      <c r="L45" s="369"/>
    </row>
    <row r="46" spans="1:15" ht="5.0999999999999996" customHeight="1" x14ac:dyDescent="0.25">
      <c r="A46" s="273"/>
      <c r="B46" s="182"/>
      <c r="C46" s="203"/>
      <c r="D46" s="203"/>
      <c r="E46" s="204"/>
      <c r="F46" s="205"/>
      <c r="G46" s="203"/>
      <c r="H46" s="202"/>
      <c r="I46" s="205"/>
      <c r="J46" s="203"/>
      <c r="K46" s="204"/>
      <c r="L46" s="369"/>
    </row>
    <row r="47" spans="1:15" ht="17.25" customHeight="1" x14ac:dyDescent="0.25">
      <c r="A47" s="249" t="s">
        <v>958</v>
      </c>
      <c r="B47" s="182"/>
      <c r="C47" s="218">
        <f>SUM(C48:C49)</f>
        <v>0</v>
      </c>
      <c r="D47" s="218">
        <f t="shared" ref="D47:K47" si="8">SUM(D48:D49)</f>
        <v>0</v>
      </c>
      <c r="E47" s="219">
        <f t="shared" si="8"/>
        <v>0</v>
      </c>
      <c r="F47" s="220">
        <f t="shared" si="8"/>
        <v>0</v>
      </c>
      <c r="G47" s="218">
        <f t="shared" si="8"/>
        <v>0</v>
      </c>
      <c r="H47" s="217">
        <f t="shared" si="8"/>
        <v>0</v>
      </c>
      <c r="I47" s="220">
        <f t="shared" si="8"/>
        <v>0</v>
      </c>
      <c r="J47" s="218">
        <f t="shared" si="8"/>
        <v>0</v>
      </c>
      <c r="K47" s="219">
        <f t="shared" si="8"/>
        <v>0</v>
      </c>
      <c r="L47" s="369"/>
    </row>
    <row r="48" spans="1:15" ht="11.25" customHeight="1" x14ac:dyDescent="0.25">
      <c r="A48" s="250" t="s">
        <v>502</v>
      </c>
      <c r="B48" s="182"/>
      <c r="C48" s="1611"/>
      <c r="D48" s="1611"/>
      <c r="E48" s="1889"/>
      <c r="F48" s="1959"/>
      <c r="G48" s="1611"/>
      <c r="H48" s="1979"/>
      <c r="I48" s="1959"/>
      <c r="J48" s="1611"/>
      <c r="K48" s="1889"/>
      <c r="L48" s="1552"/>
    </row>
    <row r="49" spans="1:12" ht="11.25" customHeight="1" x14ac:dyDescent="0.25">
      <c r="A49" s="250" t="s">
        <v>292</v>
      </c>
      <c r="B49" s="182"/>
      <c r="C49" s="1651"/>
      <c r="D49" s="1651"/>
      <c r="E49" s="1652"/>
      <c r="F49" s="1653"/>
      <c r="G49" s="1651"/>
      <c r="H49" s="1654"/>
      <c r="I49" s="1653"/>
      <c r="J49" s="1651"/>
      <c r="K49" s="1652"/>
      <c r="L49" s="369"/>
    </row>
    <row r="50" spans="1:12" ht="5.0999999999999996" customHeight="1" x14ac:dyDescent="0.25">
      <c r="A50" s="273"/>
      <c r="B50" s="182"/>
      <c r="C50" s="203"/>
      <c r="D50" s="203"/>
      <c r="E50" s="204"/>
      <c r="F50" s="205"/>
      <c r="G50" s="203"/>
      <c r="H50" s="202"/>
      <c r="I50" s="205"/>
      <c r="J50" s="203"/>
      <c r="K50" s="204"/>
      <c r="L50" s="369"/>
    </row>
    <row r="51" spans="1:12" ht="17.25" customHeight="1" x14ac:dyDescent="0.25">
      <c r="A51" s="249" t="s">
        <v>959</v>
      </c>
      <c r="B51" s="182"/>
      <c r="C51" s="218">
        <f>SUM(C52:C63)</f>
        <v>0</v>
      </c>
      <c r="D51" s="218">
        <f t="shared" ref="D51:K51" si="9">SUM(D52:D63)</f>
        <v>10741864</v>
      </c>
      <c r="E51" s="219">
        <f t="shared" si="9"/>
        <v>16903405</v>
      </c>
      <c r="F51" s="220">
        <f t="shared" si="9"/>
        <v>0</v>
      </c>
      <c r="G51" s="218">
        <f t="shared" si="9"/>
        <v>28650000</v>
      </c>
      <c r="H51" s="217">
        <f t="shared" si="9"/>
        <v>28650000</v>
      </c>
      <c r="I51" s="220">
        <f t="shared" si="9"/>
        <v>30025200</v>
      </c>
      <c r="J51" s="218">
        <f t="shared" si="9"/>
        <v>31796686.800000001</v>
      </c>
      <c r="K51" s="219">
        <f t="shared" si="9"/>
        <v>33577301.260800004</v>
      </c>
      <c r="L51" s="369"/>
    </row>
    <row r="52" spans="1:12" ht="11.25" customHeight="1" x14ac:dyDescent="0.25">
      <c r="A52" s="254" t="s">
        <v>628</v>
      </c>
      <c r="B52" s="182"/>
      <c r="C52" s="1611"/>
      <c r="D52" s="1611">
        <v>1581742</v>
      </c>
      <c r="E52" s="1889">
        <v>1737483</v>
      </c>
      <c r="F52" s="1959"/>
      <c r="G52" s="1611">
        <v>2500000</v>
      </c>
      <c r="H52" s="1979">
        <v>2500000</v>
      </c>
      <c r="I52" s="1959">
        <f>A3A!I202</f>
        <v>2620000</v>
      </c>
      <c r="J52" s="1611">
        <f>I52*1.059</f>
        <v>2774580</v>
      </c>
      <c r="K52" s="1889">
        <f>J52*1.056</f>
        <v>2929956.48</v>
      </c>
      <c r="L52" s="1552"/>
    </row>
    <row r="53" spans="1:12" ht="11.25" customHeight="1" x14ac:dyDescent="0.25">
      <c r="A53" s="254" t="s">
        <v>32</v>
      </c>
      <c r="B53" s="182">
        <v>10</v>
      </c>
      <c r="C53" s="1059">
        <f>C79</f>
        <v>0</v>
      </c>
      <c r="D53" s="1059">
        <f t="shared" ref="D53:K53" si="10">D79</f>
        <v>0</v>
      </c>
      <c r="E53" s="1060">
        <f t="shared" si="10"/>
        <v>0</v>
      </c>
      <c r="F53" s="1061">
        <f t="shared" si="10"/>
        <v>0</v>
      </c>
      <c r="G53" s="1059">
        <f t="shared" si="10"/>
        <v>0</v>
      </c>
      <c r="H53" s="1062">
        <f t="shared" si="10"/>
        <v>0</v>
      </c>
      <c r="I53" s="1061">
        <f t="shared" si="10"/>
        <v>0</v>
      </c>
      <c r="J53" s="1059">
        <f t="shared" si="10"/>
        <v>0</v>
      </c>
      <c r="K53" s="1060">
        <f t="shared" si="10"/>
        <v>0</v>
      </c>
      <c r="L53" s="369"/>
    </row>
    <row r="54" spans="1:12" ht="11.25" customHeight="1" x14ac:dyDescent="0.25">
      <c r="A54" s="254" t="s">
        <v>1233</v>
      </c>
      <c r="B54" s="182"/>
      <c r="C54" s="1606"/>
      <c r="D54" s="1606"/>
      <c r="E54" s="1628">
        <v>10903342</v>
      </c>
      <c r="F54" s="1629"/>
      <c r="G54" s="1606">
        <v>20050000</v>
      </c>
      <c r="H54" s="1630">
        <v>20050000</v>
      </c>
      <c r="I54" s="1629">
        <f>A3A!I204</f>
        <v>20960000</v>
      </c>
      <c r="J54" s="1606">
        <f>I54*1.059</f>
        <v>22196640</v>
      </c>
      <c r="K54" s="1628">
        <f>J54*1.056</f>
        <v>23439651.84</v>
      </c>
      <c r="L54" s="1552"/>
    </row>
    <row r="55" spans="1:12" ht="11.25" customHeight="1" x14ac:dyDescent="0.25">
      <c r="A55" s="254" t="s">
        <v>629</v>
      </c>
      <c r="B55" s="182"/>
      <c r="C55" s="1606"/>
      <c r="D55" s="1606">
        <v>556358</v>
      </c>
      <c r="E55" s="1628">
        <v>758193</v>
      </c>
      <c r="F55" s="1629"/>
      <c r="G55" s="1606">
        <v>1500000</v>
      </c>
      <c r="H55" s="1630">
        <v>1500000</v>
      </c>
      <c r="I55" s="1629">
        <f>A3A!I199</f>
        <v>1572000</v>
      </c>
      <c r="J55" s="1606">
        <f t="shared" ref="J55:J60" si="11">I55*1.059</f>
        <v>1664748</v>
      </c>
      <c r="K55" s="1628">
        <f t="shared" ref="K55:K60" si="12">J55*1.056</f>
        <v>1757973.888</v>
      </c>
      <c r="L55" s="1552"/>
    </row>
    <row r="56" spans="1:12" ht="11.25" customHeight="1" x14ac:dyDescent="0.25">
      <c r="A56" s="254" t="s">
        <v>630</v>
      </c>
      <c r="B56" s="182"/>
      <c r="C56" s="1606"/>
      <c r="D56" s="1606">
        <v>396029</v>
      </c>
      <c r="E56" s="1628">
        <v>690972</v>
      </c>
      <c r="F56" s="1629"/>
      <c r="G56" s="1606">
        <v>1000000</v>
      </c>
      <c r="H56" s="1630">
        <v>1000000</v>
      </c>
      <c r="I56" s="1629">
        <f>A3A!I200+[8]Sheet3!$I$194</f>
        <v>1100400</v>
      </c>
      <c r="J56" s="1606">
        <f t="shared" si="11"/>
        <v>1165323.5999999999</v>
      </c>
      <c r="K56" s="1628">
        <f t="shared" si="12"/>
        <v>1230581.7215999998</v>
      </c>
      <c r="L56" s="1552"/>
    </row>
    <row r="57" spans="1:12" ht="11.25" customHeight="1" x14ac:dyDescent="0.25">
      <c r="A57" s="254" t="s">
        <v>1234</v>
      </c>
      <c r="B57" s="182"/>
      <c r="C57" s="1606"/>
      <c r="D57" s="1606"/>
      <c r="E57" s="1628"/>
      <c r="F57" s="1629"/>
      <c r="G57" s="1606"/>
      <c r="H57" s="1630"/>
      <c r="I57" s="1629"/>
      <c r="J57" s="1606">
        <f t="shared" si="11"/>
        <v>0</v>
      </c>
      <c r="K57" s="1628">
        <f t="shared" si="12"/>
        <v>0</v>
      </c>
      <c r="L57" s="1552"/>
    </row>
    <row r="58" spans="1:12" ht="11.25" customHeight="1" x14ac:dyDescent="0.25">
      <c r="A58" s="254" t="s">
        <v>1235</v>
      </c>
      <c r="B58" s="182"/>
      <c r="C58" s="1606"/>
      <c r="D58" s="1606"/>
      <c r="E58" s="1628"/>
      <c r="F58" s="1629"/>
      <c r="G58" s="1606"/>
      <c r="H58" s="1630"/>
      <c r="I58" s="1629"/>
      <c r="J58" s="1606">
        <f t="shared" si="11"/>
        <v>0</v>
      </c>
      <c r="K58" s="1628">
        <f t="shared" si="12"/>
        <v>0</v>
      </c>
      <c r="L58" s="1551"/>
    </row>
    <row r="59" spans="1:12" ht="11.25" customHeight="1" x14ac:dyDescent="0.25">
      <c r="A59" s="254" t="s">
        <v>1510</v>
      </c>
      <c r="B59" s="182"/>
      <c r="C59" s="1606"/>
      <c r="D59" s="1606"/>
      <c r="E59" s="1628"/>
      <c r="F59" s="1629"/>
      <c r="G59" s="1606"/>
      <c r="H59" s="1630"/>
      <c r="I59" s="1629"/>
      <c r="J59" s="1606">
        <f t="shared" si="11"/>
        <v>0</v>
      </c>
      <c r="K59" s="1628">
        <f t="shared" si="12"/>
        <v>0</v>
      </c>
      <c r="L59" s="1552"/>
    </row>
    <row r="60" spans="1:12" ht="11.25" customHeight="1" x14ac:dyDescent="0.25">
      <c r="A60" s="254" t="s">
        <v>322</v>
      </c>
      <c r="B60" s="182"/>
      <c r="C60" s="1606"/>
      <c r="D60" s="1606">
        <v>3350949</v>
      </c>
      <c r="E60" s="1628">
        <v>2813415</v>
      </c>
      <c r="F60" s="1629"/>
      <c r="G60" s="1606">
        <v>3600000</v>
      </c>
      <c r="H60" s="1630">
        <v>3600000</v>
      </c>
      <c r="I60" s="1629">
        <f>A3A!I203</f>
        <v>3772800</v>
      </c>
      <c r="J60" s="1606">
        <f t="shared" si="11"/>
        <v>3995395.1999999997</v>
      </c>
      <c r="K60" s="1628">
        <f t="shared" si="12"/>
        <v>4219137.3311999999</v>
      </c>
      <c r="L60" s="1552"/>
    </row>
    <row r="61" spans="1:12" ht="11.25" customHeight="1" x14ac:dyDescent="0.25">
      <c r="A61" s="254" t="s">
        <v>321</v>
      </c>
      <c r="B61" s="182"/>
      <c r="C61" s="1606"/>
      <c r="D61" s="1606"/>
      <c r="E61" s="1628"/>
      <c r="F61" s="1629"/>
      <c r="G61" s="1606"/>
      <c r="H61" s="1630"/>
      <c r="I61" s="1629"/>
      <c r="J61" s="1606"/>
      <c r="K61" s="1628"/>
      <c r="L61" s="1552"/>
    </row>
    <row r="62" spans="1:12" ht="11.25" customHeight="1" x14ac:dyDescent="0.25">
      <c r="A62" s="254" t="s">
        <v>631</v>
      </c>
      <c r="B62" s="182"/>
      <c r="C62" s="1606"/>
      <c r="D62" s="1606"/>
      <c r="E62" s="1628"/>
      <c r="F62" s="1629"/>
      <c r="G62" s="1606"/>
      <c r="H62" s="1630"/>
      <c r="I62" s="1629"/>
      <c r="J62" s="1606"/>
      <c r="K62" s="1628"/>
      <c r="L62" s="1552"/>
    </row>
    <row r="63" spans="1:12" ht="11.25" customHeight="1" x14ac:dyDescent="0.25">
      <c r="A63" s="250" t="s">
        <v>292</v>
      </c>
      <c r="B63" s="182"/>
      <c r="C63" s="1651"/>
      <c r="D63" s="1651">
        <v>4856786</v>
      </c>
      <c r="E63" s="1652"/>
      <c r="F63" s="1653"/>
      <c r="G63" s="1651"/>
      <c r="H63" s="1654"/>
      <c r="I63" s="1653"/>
      <c r="J63" s="1651"/>
      <c r="K63" s="1652"/>
      <c r="L63" s="1552"/>
    </row>
    <row r="64" spans="1:12" ht="5.0999999999999996" customHeight="1" x14ac:dyDescent="0.25">
      <c r="A64" s="839"/>
      <c r="B64" s="182"/>
      <c r="C64" s="203"/>
      <c r="D64" s="203"/>
      <c r="E64" s="204"/>
      <c r="F64" s="205"/>
      <c r="G64" s="203"/>
      <c r="H64" s="202"/>
      <c r="I64" s="205"/>
      <c r="J64" s="203"/>
      <c r="K64" s="204"/>
      <c r="L64" s="369"/>
    </row>
    <row r="65" spans="1:12" ht="13.5" customHeight="1" x14ac:dyDescent="0.25">
      <c r="A65" s="249" t="s">
        <v>1525</v>
      </c>
      <c r="B65" s="182"/>
      <c r="C65" s="203">
        <f>SUM(C66:C67)</f>
        <v>0</v>
      </c>
      <c r="D65" s="203">
        <f t="shared" ref="D65:K65" si="13">SUM(D66:D67)</f>
        <v>0</v>
      </c>
      <c r="E65" s="204">
        <f t="shared" si="13"/>
        <v>0</v>
      </c>
      <c r="F65" s="205">
        <f t="shared" si="13"/>
        <v>0</v>
      </c>
      <c r="G65" s="203">
        <f t="shared" si="13"/>
        <v>0</v>
      </c>
      <c r="H65" s="202">
        <f t="shared" si="13"/>
        <v>0</v>
      </c>
      <c r="I65" s="205">
        <f t="shared" si="13"/>
        <v>0</v>
      </c>
      <c r="J65" s="203">
        <f t="shared" si="13"/>
        <v>0</v>
      </c>
      <c r="K65" s="204">
        <f t="shared" si="13"/>
        <v>0</v>
      </c>
      <c r="L65" s="369"/>
    </row>
    <row r="66" spans="1:12" ht="11.25" customHeight="1" x14ac:dyDescent="0.25">
      <c r="A66" s="1940" t="s">
        <v>1246</v>
      </c>
      <c r="B66" s="182"/>
      <c r="C66" s="1611"/>
      <c r="D66" s="1611"/>
      <c r="E66" s="1889"/>
      <c r="F66" s="1959"/>
      <c r="G66" s="1611"/>
      <c r="H66" s="1979"/>
      <c r="I66" s="1959"/>
      <c r="J66" s="1611"/>
      <c r="K66" s="1889"/>
      <c r="L66" s="369"/>
    </row>
    <row r="67" spans="1:12" ht="11.25" customHeight="1" x14ac:dyDescent="0.25">
      <c r="A67" s="1940"/>
      <c r="B67" s="182"/>
      <c r="C67" s="1651"/>
      <c r="D67" s="1651"/>
      <c r="E67" s="1652"/>
      <c r="F67" s="1653"/>
      <c r="G67" s="1651"/>
      <c r="H67" s="1654"/>
      <c r="I67" s="1653"/>
      <c r="J67" s="1651"/>
      <c r="K67" s="1652"/>
      <c r="L67" s="369"/>
    </row>
    <row r="68" spans="1:12" ht="5.0999999999999996" customHeight="1" x14ac:dyDescent="0.25">
      <c r="A68" s="839"/>
      <c r="B68" s="182"/>
      <c r="C68" s="203"/>
      <c r="D68" s="203"/>
      <c r="E68" s="204"/>
      <c r="F68" s="205"/>
      <c r="G68" s="203"/>
      <c r="H68" s="202"/>
      <c r="I68" s="205"/>
      <c r="J68" s="203"/>
      <c r="K68" s="204"/>
      <c r="L68" s="369"/>
    </row>
    <row r="69" spans="1:12" ht="13.5" customHeight="1" x14ac:dyDescent="0.25">
      <c r="A69" s="249" t="s">
        <v>136</v>
      </c>
      <c r="B69" s="182"/>
      <c r="C69" s="203">
        <f>SUM(C70:C71)</f>
        <v>0</v>
      </c>
      <c r="D69" s="203">
        <f t="shared" ref="D69:K69" si="14">SUM(D70:D71)</f>
        <v>0</v>
      </c>
      <c r="E69" s="204">
        <f t="shared" si="14"/>
        <v>0</v>
      </c>
      <c r="F69" s="205">
        <f t="shared" si="14"/>
        <v>0</v>
      </c>
      <c r="G69" s="203">
        <f t="shared" si="14"/>
        <v>0</v>
      </c>
      <c r="H69" s="202">
        <f t="shared" si="14"/>
        <v>0</v>
      </c>
      <c r="I69" s="205">
        <f t="shared" si="14"/>
        <v>0</v>
      </c>
      <c r="J69" s="203">
        <f t="shared" si="14"/>
        <v>0</v>
      </c>
      <c r="K69" s="204">
        <f t="shared" si="14"/>
        <v>0</v>
      </c>
      <c r="L69" s="369"/>
    </row>
    <row r="70" spans="1:12" ht="11.25" customHeight="1" x14ac:dyDescent="0.25">
      <c r="A70" s="1940" t="s">
        <v>1246</v>
      </c>
      <c r="B70" s="182"/>
      <c r="C70" s="1611"/>
      <c r="D70" s="1611"/>
      <c r="E70" s="1889"/>
      <c r="F70" s="1959"/>
      <c r="G70" s="1611"/>
      <c r="H70" s="1979"/>
      <c r="I70" s="1959"/>
      <c r="J70" s="1611"/>
      <c r="K70" s="1889"/>
      <c r="L70" s="369"/>
    </row>
    <row r="71" spans="1:12" ht="11.25" customHeight="1" x14ac:dyDescent="0.25">
      <c r="A71" s="1940"/>
      <c r="B71" s="182"/>
      <c r="C71" s="1651"/>
      <c r="D71" s="1651"/>
      <c r="E71" s="1652"/>
      <c r="F71" s="1653"/>
      <c r="G71" s="1651"/>
      <c r="H71" s="1654"/>
      <c r="I71" s="1653"/>
      <c r="J71" s="1651"/>
      <c r="K71" s="1652"/>
      <c r="L71" s="369"/>
    </row>
    <row r="72" spans="1:12" ht="5.0999999999999996" customHeight="1" x14ac:dyDescent="0.25">
      <c r="A72" s="273"/>
      <c r="B72" s="182"/>
      <c r="C72" s="203"/>
      <c r="D72" s="203"/>
      <c r="E72" s="204"/>
      <c r="F72" s="205"/>
      <c r="G72" s="203"/>
      <c r="H72" s="202"/>
      <c r="I72" s="205"/>
      <c r="J72" s="203"/>
      <c r="K72" s="204"/>
      <c r="L72" s="369"/>
    </row>
    <row r="73" spans="1:12" ht="17.25" customHeight="1" x14ac:dyDescent="0.25">
      <c r="A73" s="249" t="s">
        <v>877</v>
      </c>
      <c r="B73" s="182"/>
      <c r="C73" s="203">
        <f>SUM(C74:C75)</f>
        <v>0</v>
      </c>
      <c r="D73" s="203">
        <f t="shared" ref="D73:K73" si="15">SUM(D74:D75)</f>
        <v>0</v>
      </c>
      <c r="E73" s="204">
        <f t="shared" si="15"/>
        <v>0</v>
      </c>
      <c r="F73" s="205">
        <f t="shared" si="15"/>
        <v>0</v>
      </c>
      <c r="G73" s="203">
        <f t="shared" si="15"/>
        <v>0</v>
      </c>
      <c r="H73" s="202">
        <f t="shared" si="15"/>
        <v>0</v>
      </c>
      <c r="I73" s="205">
        <f t="shared" si="15"/>
        <v>0</v>
      </c>
      <c r="J73" s="203">
        <f t="shared" si="15"/>
        <v>0</v>
      </c>
      <c r="K73" s="204">
        <f t="shared" si="15"/>
        <v>0</v>
      </c>
      <c r="L73" s="369"/>
    </row>
    <row r="74" spans="1:12" ht="11.25" customHeight="1" x14ac:dyDescent="0.25">
      <c r="A74" s="254" t="s">
        <v>965</v>
      </c>
      <c r="B74" s="182"/>
      <c r="C74" s="1611"/>
      <c r="D74" s="1611"/>
      <c r="E74" s="1889"/>
      <c r="F74" s="1959"/>
      <c r="G74" s="1611"/>
      <c r="H74" s="1979"/>
      <c r="I74" s="1959"/>
      <c r="J74" s="1611"/>
      <c r="K74" s="1889"/>
      <c r="L74" s="369"/>
    </row>
    <row r="75" spans="1:12" ht="11.25" customHeight="1" x14ac:dyDescent="0.25">
      <c r="A75" s="1914" t="s">
        <v>612</v>
      </c>
      <c r="B75" s="182"/>
      <c r="C75" s="1651"/>
      <c r="D75" s="1651"/>
      <c r="E75" s="1652"/>
      <c r="F75" s="1653"/>
      <c r="G75" s="1651"/>
      <c r="H75" s="1654"/>
      <c r="I75" s="1653"/>
      <c r="J75" s="1651"/>
      <c r="K75" s="1652"/>
      <c r="L75" s="369"/>
    </row>
    <row r="76" spans="1:12" ht="5.0999999999999996" customHeight="1" x14ac:dyDescent="0.25">
      <c r="A76" s="273"/>
      <c r="B76" s="182"/>
      <c r="C76" s="218"/>
      <c r="D76" s="218"/>
      <c r="E76" s="219"/>
      <c r="F76" s="220"/>
      <c r="G76" s="218"/>
      <c r="H76" s="217"/>
      <c r="I76" s="220"/>
      <c r="J76" s="218"/>
      <c r="K76" s="219"/>
      <c r="L76" s="369"/>
    </row>
    <row r="77" spans="1:12" x14ac:dyDescent="0.25">
      <c r="A77" s="281" t="s">
        <v>2036</v>
      </c>
      <c r="B77" s="225">
        <v>1</v>
      </c>
      <c r="C77" s="230">
        <f t="shared" ref="C77:K77" si="16">C6+C27+C43+C47+C51+C73+C65+C69</f>
        <v>64066096</v>
      </c>
      <c r="D77" s="230">
        <f t="shared" si="16"/>
        <v>149019343</v>
      </c>
      <c r="E77" s="228">
        <f t="shared" si="16"/>
        <v>130728252</v>
      </c>
      <c r="F77" s="229">
        <f t="shared" si="16"/>
        <v>174084397.24000001</v>
      </c>
      <c r="G77" s="230">
        <f>G6+G27+G43+G47+G51+G73+G65+G69</f>
        <v>43650000</v>
      </c>
      <c r="H77" s="231">
        <f t="shared" si="16"/>
        <v>43650000</v>
      </c>
      <c r="I77" s="229">
        <f t="shared" si="16"/>
        <v>151000100</v>
      </c>
      <c r="J77" s="230">
        <f t="shared" si="16"/>
        <v>159909105.90000001</v>
      </c>
      <c r="K77" s="228">
        <f t="shared" si="16"/>
        <v>168864015.83040002</v>
      </c>
      <c r="L77" s="369"/>
    </row>
    <row r="78" spans="1:12" x14ac:dyDescent="0.25">
      <c r="A78" s="1554"/>
      <c r="B78" s="651"/>
      <c r="C78" s="217"/>
      <c r="D78" s="217"/>
      <c r="E78" s="217"/>
      <c r="F78" s="217"/>
      <c r="G78" s="217"/>
      <c r="H78" s="217"/>
      <c r="I78" s="217"/>
      <c r="J78" s="217"/>
      <c r="K78" s="217"/>
      <c r="L78" s="369"/>
    </row>
    <row r="79" spans="1:12" x14ac:dyDescent="0.25">
      <c r="A79" s="1555" t="s">
        <v>32</v>
      </c>
      <c r="B79" s="1556"/>
      <c r="C79" s="1297">
        <f t="shared" ref="C79:K79" si="17">SUM(C80:C83)</f>
        <v>0</v>
      </c>
      <c r="D79" s="1293">
        <f t="shared" si="17"/>
        <v>0</v>
      </c>
      <c r="E79" s="1557">
        <f t="shared" si="17"/>
        <v>0</v>
      </c>
      <c r="F79" s="1297">
        <f t="shared" si="17"/>
        <v>0</v>
      </c>
      <c r="G79" s="1293">
        <f t="shared" si="17"/>
        <v>0</v>
      </c>
      <c r="H79" s="1557">
        <f t="shared" si="17"/>
        <v>0</v>
      </c>
      <c r="I79" s="1297">
        <f t="shared" si="17"/>
        <v>0</v>
      </c>
      <c r="J79" s="1293">
        <f t="shared" si="17"/>
        <v>0</v>
      </c>
      <c r="K79" s="1557">
        <f t="shared" si="17"/>
        <v>0</v>
      </c>
      <c r="L79" s="369"/>
    </row>
    <row r="80" spans="1:12" x14ac:dyDescent="0.25">
      <c r="A80" s="190" t="s">
        <v>1279</v>
      </c>
      <c r="B80" s="1558"/>
      <c r="C80" s="1608"/>
      <c r="D80" s="1606"/>
      <c r="E80" s="1609"/>
      <c r="F80" s="1608"/>
      <c r="G80" s="1606"/>
      <c r="H80" s="1609"/>
      <c r="I80" s="1608"/>
      <c r="J80" s="1606"/>
      <c r="K80" s="1609"/>
      <c r="L80" s="369"/>
    </row>
    <row r="81" spans="1:12" x14ac:dyDescent="0.25">
      <c r="A81" s="190" t="s">
        <v>1511</v>
      </c>
      <c r="B81" s="1558"/>
      <c r="C81" s="1608"/>
      <c r="D81" s="1606"/>
      <c r="E81" s="1609"/>
      <c r="F81" s="1608"/>
      <c r="G81" s="1606"/>
      <c r="H81" s="1609"/>
      <c r="I81" s="1608"/>
      <c r="J81" s="1606"/>
      <c r="K81" s="1609"/>
      <c r="L81" s="369"/>
    </row>
    <row r="82" spans="1:12" x14ac:dyDescent="0.25">
      <c r="A82" s="190" t="s">
        <v>1707</v>
      </c>
      <c r="B82" s="1558"/>
      <c r="C82" s="1608"/>
      <c r="D82" s="1606"/>
      <c r="E82" s="1609"/>
      <c r="F82" s="1608"/>
      <c r="G82" s="1606"/>
      <c r="H82" s="1609"/>
      <c r="I82" s="1608"/>
      <c r="J82" s="1606"/>
      <c r="K82" s="1609"/>
      <c r="L82" s="369"/>
    </row>
    <row r="83" spans="1:12" x14ac:dyDescent="0.25">
      <c r="A83" s="1310" t="s">
        <v>1708</v>
      </c>
      <c r="B83" s="1559"/>
      <c r="C83" s="1697"/>
      <c r="D83" s="1693"/>
      <c r="E83" s="1986"/>
      <c r="F83" s="1697"/>
      <c r="G83" s="1693"/>
      <c r="H83" s="1986"/>
      <c r="I83" s="1697"/>
      <c r="J83" s="1693"/>
      <c r="K83" s="1986"/>
      <c r="L83" s="369"/>
    </row>
    <row r="84" spans="1:12" s="708" customFormat="1" x14ac:dyDescent="0.25">
      <c r="A84" s="1257" t="str">
        <f>head27a</f>
        <v>References</v>
      </c>
      <c r="B84" s="1033"/>
      <c r="C84" s="1037"/>
      <c r="D84" s="1037"/>
      <c r="E84" s="1037"/>
      <c r="F84" s="1037"/>
      <c r="G84" s="1037"/>
      <c r="H84" s="1037"/>
      <c r="I84" s="1037"/>
      <c r="J84" s="1037"/>
      <c r="K84" s="1037"/>
      <c r="L84" s="1553"/>
    </row>
    <row r="85" spans="1:12" s="708" customFormat="1" ht="11.25" customHeight="1" x14ac:dyDescent="0.25">
      <c r="A85" s="1258" t="s">
        <v>2205</v>
      </c>
      <c r="B85" s="1033"/>
      <c r="C85" s="1036"/>
      <c r="D85" s="1036"/>
      <c r="E85" s="1037"/>
      <c r="F85" s="1037"/>
      <c r="G85" s="1037"/>
      <c r="H85" s="1037"/>
      <c r="I85" s="1037"/>
      <c r="J85" s="1037"/>
      <c r="K85" s="1037"/>
    </row>
    <row r="86" spans="1:12" s="708" customFormat="1" ht="11.25" customHeight="1" x14ac:dyDescent="0.25">
      <c r="A86" s="1258" t="s">
        <v>319</v>
      </c>
      <c r="B86" s="1033"/>
      <c r="C86" s="1036"/>
      <c r="D86" s="1036"/>
      <c r="E86" s="1037"/>
      <c r="F86" s="1037"/>
      <c r="G86" s="1037"/>
      <c r="H86" s="1037"/>
      <c r="I86" s="1037"/>
      <c r="J86" s="1037"/>
      <c r="K86" s="1037"/>
    </row>
    <row r="87" spans="1:12" s="708" customFormat="1" ht="11.25" customHeight="1" x14ac:dyDescent="0.25">
      <c r="A87" s="1258" t="s">
        <v>907</v>
      </c>
      <c r="B87" s="1033"/>
      <c r="C87" s="1036"/>
      <c r="D87" s="1036"/>
      <c r="E87" s="1037"/>
      <c r="F87" s="1037"/>
      <c r="G87" s="1037"/>
      <c r="H87" s="1037"/>
      <c r="I87" s="1037"/>
      <c r="J87" s="1037"/>
      <c r="K87" s="1037"/>
    </row>
    <row r="88" spans="1:12" s="708" customFormat="1" ht="11.25" customHeight="1" x14ac:dyDescent="0.25">
      <c r="A88" s="1258" t="s">
        <v>323</v>
      </c>
      <c r="B88" s="1033"/>
      <c r="C88" s="1036"/>
      <c r="D88" s="1036"/>
      <c r="E88" s="1037"/>
      <c r="F88" s="1037"/>
      <c r="G88" s="1037"/>
      <c r="H88" s="1037"/>
      <c r="I88" s="1037"/>
      <c r="J88" s="1037"/>
      <c r="K88" s="1037"/>
    </row>
    <row r="89" spans="1:12" s="708" customFormat="1" ht="11.25" customHeight="1" x14ac:dyDescent="0.25">
      <c r="A89" s="1258" t="s">
        <v>133</v>
      </c>
      <c r="B89" s="1033"/>
      <c r="C89" s="1036"/>
      <c r="D89" s="1036"/>
      <c r="E89" s="1037"/>
      <c r="F89" s="1037"/>
      <c r="G89" s="1037"/>
      <c r="H89" s="1037"/>
      <c r="I89" s="1037"/>
      <c r="J89" s="1037"/>
      <c r="K89" s="1037"/>
    </row>
    <row r="90" spans="1:12" s="708" customFormat="1" ht="11.25" customHeight="1" x14ac:dyDescent="0.25">
      <c r="A90" s="1258" t="s">
        <v>1648</v>
      </c>
      <c r="B90" s="1033"/>
      <c r="C90" s="1036"/>
      <c r="D90" s="1036"/>
      <c r="E90" s="1037"/>
      <c r="F90" s="1037"/>
      <c r="G90" s="1037"/>
      <c r="H90" s="1037"/>
      <c r="I90" s="1037"/>
      <c r="J90" s="1037"/>
      <c r="K90" s="1037"/>
    </row>
    <row r="91" spans="1:12" s="708" customFormat="1" ht="11.25" customHeight="1" x14ac:dyDescent="0.25">
      <c r="A91" s="1510" t="s">
        <v>33</v>
      </c>
      <c r="B91" s="1033"/>
      <c r="C91" s="1036"/>
      <c r="D91" s="1036"/>
      <c r="E91" s="1037"/>
      <c r="F91" s="1037"/>
      <c r="G91" s="1037"/>
      <c r="H91" s="1037"/>
      <c r="I91" s="1037"/>
      <c r="J91" s="1037"/>
      <c r="K91" s="1037"/>
    </row>
    <row r="92" spans="1:12" s="708" customFormat="1" ht="11.25" customHeight="1" x14ac:dyDescent="0.25">
      <c r="A92" s="1510" t="s">
        <v>1323</v>
      </c>
      <c r="B92" s="1033"/>
      <c r="C92" s="1036"/>
      <c r="D92" s="1036"/>
      <c r="E92" s="1037"/>
      <c r="F92" s="1037"/>
      <c r="G92" s="1037"/>
      <c r="H92" s="1037"/>
      <c r="I92" s="1037"/>
      <c r="J92" s="1037"/>
      <c r="K92" s="1037"/>
    </row>
    <row r="93" spans="1:12" s="708" customFormat="1" ht="11.25" customHeight="1" x14ac:dyDescent="0.25">
      <c r="A93" s="1510" t="s">
        <v>1324</v>
      </c>
      <c r="B93" s="1033"/>
      <c r="C93" s="1036"/>
      <c r="D93" s="1036"/>
      <c r="E93" s="1037"/>
      <c r="F93" s="1037"/>
      <c r="G93" s="1037"/>
      <c r="H93" s="1037"/>
      <c r="I93" s="1037"/>
      <c r="J93" s="1037"/>
      <c r="K93" s="1037"/>
    </row>
    <row r="94" spans="1:12" s="708" customFormat="1" ht="11.25" customHeight="1" x14ac:dyDescent="0.25">
      <c r="A94" s="1510" t="s">
        <v>386</v>
      </c>
      <c r="B94" s="1033"/>
      <c r="C94" s="1036"/>
      <c r="D94" s="1036"/>
      <c r="E94" s="1037"/>
      <c r="F94" s="1037"/>
      <c r="G94" s="1037"/>
      <c r="H94" s="1037"/>
      <c r="I94" s="1037"/>
      <c r="J94" s="1037"/>
      <c r="K94" s="1037"/>
    </row>
    <row r="95" spans="1:12" s="708" customFormat="1" ht="11.25" customHeight="1" x14ac:dyDescent="0.25">
      <c r="A95" s="1055"/>
      <c r="B95" s="1033"/>
      <c r="C95" s="1036"/>
      <c r="D95" s="1036"/>
      <c r="E95" s="1037"/>
      <c r="F95" s="1037"/>
      <c r="G95" s="1037"/>
      <c r="H95" s="1037"/>
      <c r="I95" s="1037"/>
      <c r="J95" s="1037"/>
      <c r="K95" s="1037"/>
    </row>
    <row r="96" spans="1:12" ht="11.25" customHeight="1" x14ac:dyDescent="0.25">
      <c r="A96" s="246"/>
      <c r="B96" s="236"/>
      <c r="C96" s="240"/>
      <c r="D96" s="240"/>
      <c r="E96" s="241"/>
      <c r="F96" s="241"/>
      <c r="G96" s="241"/>
      <c r="H96" s="241"/>
      <c r="I96" s="241"/>
      <c r="J96" s="241"/>
      <c r="K96" s="241"/>
    </row>
    <row r="97" spans="1:11" ht="11.25" customHeight="1" x14ac:dyDescent="0.25">
      <c r="A97" s="288" t="s">
        <v>546</v>
      </c>
      <c r="B97" s="243"/>
      <c r="C97" s="255">
        <f>C77-'A4-FinPerf RE'!C28</f>
        <v>0</v>
      </c>
      <c r="D97" s="255">
        <f>D77-'A4-FinPerf RE'!D28</f>
        <v>-1</v>
      </c>
      <c r="E97" s="255">
        <f>E77-'A4-FinPerf RE'!E28</f>
        <v>-89</v>
      </c>
      <c r="F97" s="255">
        <f>F77-'A4-FinPerf RE'!F28</f>
        <v>4.0000081062316895E-3</v>
      </c>
      <c r="G97" s="255">
        <f>G77-'A4-FinPerf RE'!G28</f>
        <v>3.9999932050704956E-3</v>
      </c>
      <c r="H97" s="255">
        <f>H77-'A4-FinPerf RE'!H28</f>
        <v>3.9999932050704956E-3</v>
      </c>
      <c r="I97" s="255">
        <f>I77-'A4-FinPerf RE'!J28</f>
        <v>0</v>
      </c>
      <c r="J97" s="255">
        <f>J77-'A4-FinPerf RE'!K28</f>
        <v>0</v>
      </c>
      <c r="K97" s="255">
        <f>K77-'A4-FinPerf RE'!L28</f>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sheetProtection sheet="1" objects="1" scenarios="1"/>
  <customSheetViews>
    <customSheetView guid="{F50C5479-5CC4-4FD7-8319-543D29E829F0}" showGridLines="0">
      <pane xSplit="2" ySplit="3" topLeftCell="C70" activePane="bottomRight" state="frozen"/>
      <selection pane="bottomRight" activeCell="A85" sqref="A85:A94"/>
      <pageMargins left="0.75" right="0.75" top="1" bottom="1" header="0.5" footer="0.5"/>
      <pageSetup orientation="portrait" r:id="rId1"/>
      <headerFooter alignWithMargins="0"/>
    </customSheetView>
  </customSheetViews>
  <mergeCells count="2">
    <mergeCell ref="F2:H2"/>
    <mergeCell ref="I2:K2"/>
  </mergeCells>
  <pageMargins left="0.74803149606299213" right="0.74803149606299213" top="0.98425196850393704" bottom="0.98425196850393704" header="0.51181102362204722" footer="0.51181102362204722"/>
  <pageSetup scale="70" orientation="portrait"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indexed="42"/>
    <pageSetUpPr fitToPage="1"/>
  </sheetPr>
  <dimension ref="A1:O147"/>
  <sheetViews>
    <sheetView showGridLines="0" zoomScaleNormal="100" workbookViewId="0">
      <pane xSplit="2" ySplit="3" topLeftCell="C4" activePane="bottomRight" state="frozen"/>
      <selection pane="topRight"/>
      <selection pane="bottomLeft"/>
      <selection pane="bottomRight" activeCell="E47" sqref="E47"/>
    </sheetView>
  </sheetViews>
  <sheetFormatPr defaultRowHeight="12.75" x14ac:dyDescent="0.25"/>
  <cols>
    <col min="1" max="1" width="30.7109375" style="149" customWidth="1"/>
    <col min="2" max="2" width="3" style="247" customWidth="1"/>
    <col min="3" max="9" width="9.28515625" style="149" customWidth="1"/>
    <col min="10" max="10" width="9.5703125" style="149" customWidth="1"/>
    <col min="11" max="11" width="9.85546875" style="149" customWidth="1"/>
    <col min="12" max="14" width="9.5703125" style="149" customWidth="1"/>
    <col min="15" max="15" width="9.85546875" style="149" customWidth="1"/>
    <col min="16" max="18" width="9.5703125" style="149" customWidth="1"/>
    <col min="19" max="20" width="9.85546875" style="149" customWidth="1"/>
    <col min="21" max="16384" width="9.140625" style="149"/>
  </cols>
  <sheetData>
    <row r="1" spans="1:10" ht="13.5" customHeight="1" x14ac:dyDescent="0.25">
      <c r="A1" s="930" t="str">
        <f>muni&amp;" - "&amp;TableA35</f>
        <v>MP315 Thembisile Hani - Supporting Table SA35 Future financial implications of the capital budget</v>
      </c>
      <c r="B1" s="930"/>
      <c r="C1" s="930"/>
      <c r="D1" s="930"/>
      <c r="E1" s="930"/>
      <c r="F1" s="930"/>
      <c r="G1" s="930"/>
      <c r="H1" s="930"/>
      <c r="I1" s="930"/>
    </row>
    <row r="2" spans="1:10" ht="33.75" customHeight="1" x14ac:dyDescent="0.25">
      <c r="A2" s="980" t="str">
        <f>Vdesc</f>
        <v>Vote Description</v>
      </c>
      <c r="B2" s="418" t="str">
        <f>head27</f>
        <v>Ref</v>
      </c>
      <c r="C2" s="2841" t="str">
        <f>Head3</f>
        <v>2015/16 Medium Term Revenue &amp; Expenditure Framework</v>
      </c>
      <c r="D2" s="2764"/>
      <c r="E2" s="2764"/>
      <c r="F2" s="2802" t="s">
        <v>873</v>
      </c>
      <c r="G2" s="2848"/>
      <c r="H2" s="2848"/>
      <c r="I2" s="2849"/>
    </row>
    <row r="3" spans="1:10" ht="25.5" x14ac:dyDescent="0.25">
      <c r="A3" s="180" t="s">
        <v>662</v>
      </c>
      <c r="B3" s="985"/>
      <c r="C3" s="982" t="str">
        <f>Head9</f>
        <v>Budget Year 2015/16</v>
      </c>
      <c r="D3" s="389" t="str">
        <f>Head10</f>
        <v>Budget Year +1 2016/17</v>
      </c>
      <c r="E3" s="388" t="str">
        <f>Head11</f>
        <v>Budget Year +2 2017/18</v>
      </c>
      <c r="F3" s="999" t="str">
        <f>Head12</f>
        <v>Forecast 2018/19</v>
      </c>
      <c r="G3" s="1000" t="str">
        <f>Head13</f>
        <v>Forecast 2019/20</v>
      </c>
      <c r="H3" s="1000" t="str">
        <f>Head14</f>
        <v>Forecast 2020/21</v>
      </c>
      <c r="I3" s="1001" t="str">
        <f>Head48</f>
        <v>Present value</v>
      </c>
    </row>
    <row r="4" spans="1:10" x14ac:dyDescent="0.25">
      <c r="A4" s="249" t="s">
        <v>1497</v>
      </c>
      <c r="B4" s="744">
        <v>1</v>
      </c>
      <c r="C4" s="931"/>
      <c r="D4" s="931"/>
      <c r="E4" s="932"/>
      <c r="F4" s="313"/>
      <c r="G4" s="311"/>
      <c r="H4" s="311"/>
      <c r="I4" s="314"/>
      <c r="J4" s="369"/>
    </row>
    <row r="5" spans="1:10" ht="11.25" customHeight="1" x14ac:dyDescent="0.25">
      <c r="A5" s="1169" t="str">
        <f>'A5-Capex'!A6</f>
        <v>Vote 1 - 100 COUNCIL &amp; GENERAL</v>
      </c>
      <c r="B5" s="182"/>
      <c r="C5" s="1467">
        <f>'A5-Capex'!J6+'A5-Capex'!J24</f>
        <v>0</v>
      </c>
      <c r="D5" s="1467">
        <f>'A5-Capex'!K6+'A5-Capex'!K24</f>
        <v>0</v>
      </c>
      <c r="E5" s="1468">
        <f>'A5-Capex'!L6+'A5-Capex'!L24</f>
        <v>0</v>
      </c>
      <c r="F5" s="1623"/>
      <c r="G5" s="1621"/>
      <c r="H5" s="1621"/>
      <c r="I5" s="1622"/>
      <c r="J5" s="369"/>
    </row>
    <row r="6" spans="1:10" ht="11.25" customHeight="1" x14ac:dyDescent="0.25">
      <c r="A6" s="1169" t="str">
        <f>'A5-Capex'!A7</f>
        <v>Vote 2 - 102 MUNICIPAL MANAGER</v>
      </c>
      <c r="B6" s="182"/>
      <c r="C6" s="1467">
        <f>'A5-Capex'!J7+'A5-Capex'!J25</f>
        <v>0</v>
      </c>
      <c r="D6" s="1467">
        <f>'A5-Capex'!K7+'A5-Capex'!K25</f>
        <v>0</v>
      </c>
      <c r="E6" s="1468">
        <f>'A5-Capex'!L7+'A5-Capex'!L25</f>
        <v>0</v>
      </c>
      <c r="F6" s="1623"/>
      <c r="G6" s="1621"/>
      <c r="H6" s="1621"/>
      <c r="I6" s="1622"/>
      <c r="J6" s="369"/>
    </row>
    <row r="7" spans="1:10" ht="11.25" customHeight="1" x14ac:dyDescent="0.25">
      <c r="A7" s="1169" t="str">
        <f>'A5-Capex'!A8</f>
        <v>Vote 3 - 103 PLANNING and DEVELOPMENT</v>
      </c>
      <c r="B7" s="182"/>
      <c r="C7" s="1467">
        <f>'A5-Capex'!J8+'A5-Capex'!J26</f>
        <v>0</v>
      </c>
      <c r="D7" s="1467">
        <f>'A5-Capex'!K8+'A5-Capex'!K26</f>
        <v>0</v>
      </c>
      <c r="E7" s="1468">
        <f>'A5-Capex'!L8+'A5-Capex'!L26</f>
        <v>0</v>
      </c>
      <c r="F7" s="1623"/>
      <c r="G7" s="1621"/>
      <c r="H7" s="1621"/>
      <c r="I7" s="1622"/>
      <c r="J7" s="369"/>
    </row>
    <row r="8" spans="1:10" ht="11.25" customHeight="1" x14ac:dyDescent="0.25">
      <c r="A8" s="1169" t="str">
        <f>'A5-Capex'!A9</f>
        <v>Vote 4 - 104 FINANCE</v>
      </c>
      <c r="B8" s="182"/>
      <c r="C8" s="1467">
        <f>'A5-Capex'!J9+'A5-Capex'!J27</f>
        <v>0</v>
      </c>
      <c r="D8" s="1467">
        <f>'A5-Capex'!K9+'A5-Capex'!K27</f>
        <v>0</v>
      </c>
      <c r="E8" s="1468">
        <f>'A5-Capex'!L9+'A5-Capex'!L27</f>
        <v>0</v>
      </c>
      <c r="F8" s="1623"/>
      <c r="G8" s="1621"/>
      <c r="H8" s="1621"/>
      <c r="I8" s="1622"/>
      <c r="J8" s="369"/>
    </row>
    <row r="9" spans="1:10" ht="11.25" customHeight="1" x14ac:dyDescent="0.25">
      <c r="A9" s="1169" t="str">
        <f>'A5-Capex'!A10</f>
        <v>Vote 5 - 105 TECHNICAL SERVICES</v>
      </c>
      <c r="B9" s="182"/>
      <c r="C9" s="1467">
        <f>'A5-Capex'!J10+'A5-Capex'!J28</f>
        <v>115149135</v>
      </c>
      <c r="D9" s="1467">
        <f>'A5-Capex'!K10+'A5-Capex'!K28</f>
        <v>121942933.96500003</v>
      </c>
      <c r="E9" s="1468">
        <f>'A5-Capex'!L10+'A5-Capex'!L28</f>
        <v>128771738.26704007</v>
      </c>
      <c r="F9" s="1623"/>
      <c r="G9" s="1621"/>
      <c r="H9" s="1621"/>
      <c r="I9" s="1622"/>
      <c r="J9" s="369"/>
    </row>
    <row r="10" spans="1:10" ht="11.25" customHeight="1" x14ac:dyDescent="0.25">
      <c r="A10" s="1169" t="str">
        <f>'A5-Capex'!A11</f>
        <v>Vote 6 - 500 PMU</v>
      </c>
      <c r="B10" s="182"/>
      <c r="C10" s="1467">
        <f>'A5-Capex'!J11+'A5-Capex'!J29</f>
        <v>90000</v>
      </c>
      <c r="D10" s="1467">
        <f>'A5-Capex'!K11+'A5-Capex'!K29</f>
        <v>95310</v>
      </c>
      <c r="E10" s="1468">
        <f>'A5-Capex'!L11+'A5-Capex'!L29</f>
        <v>100647.36</v>
      </c>
      <c r="F10" s="1623"/>
      <c r="G10" s="1621"/>
      <c r="H10" s="1621"/>
      <c r="I10" s="1622"/>
      <c r="J10" s="369"/>
    </row>
    <row r="11" spans="1:10" ht="11.25" customHeight="1" x14ac:dyDescent="0.25">
      <c r="A11" s="1169" t="str">
        <f>'A5-Capex'!A12</f>
        <v>Vote 7 - 520 WASTE MANAGEMENT</v>
      </c>
      <c r="B11" s="182"/>
      <c r="C11" s="1467">
        <f>'A5-Capex'!J12+'A5-Capex'!J30</f>
        <v>0</v>
      </c>
      <c r="D11" s="1467">
        <f>'A5-Capex'!K12+'A5-Capex'!K30</f>
        <v>0</v>
      </c>
      <c r="E11" s="1468">
        <f>'A5-Capex'!L12+'A5-Capex'!L30</f>
        <v>0</v>
      </c>
      <c r="F11" s="1623"/>
      <c r="G11" s="1621"/>
      <c r="H11" s="1621"/>
      <c r="I11" s="1622"/>
      <c r="J11" s="369"/>
    </row>
    <row r="12" spans="1:10" ht="11.25" customHeight="1" x14ac:dyDescent="0.25">
      <c r="A12" s="1169" t="str">
        <f>'A5-Capex'!A13</f>
        <v>Vote 8 - 530 ELECTRICITY SERVICES</v>
      </c>
      <c r="B12" s="182"/>
      <c r="C12" s="1467">
        <f>'A5-Capex'!J13+'A5-Capex'!J31</f>
        <v>1100000</v>
      </c>
      <c r="D12" s="1467">
        <f>'A5-Capex'!K13+'A5-Capex'!K31</f>
        <v>1164900</v>
      </c>
      <c r="E12" s="1468">
        <f>'A5-Capex'!L13+'A5-Capex'!L31</f>
        <v>1230134.4000000001</v>
      </c>
      <c r="F12" s="1623"/>
      <c r="G12" s="1621"/>
      <c r="H12" s="1621"/>
      <c r="I12" s="1622"/>
      <c r="J12" s="369"/>
    </row>
    <row r="13" spans="1:10" ht="11.25" customHeight="1" x14ac:dyDescent="0.25">
      <c r="A13" s="1169" t="str">
        <f>'A5-Capex'!A14</f>
        <v>Vote 9 - 540 WATER SERVICES</v>
      </c>
      <c r="B13" s="182"/>
      <c r="C13" s="1467">
        <f>'A5-Capex'!J14+'A5-Capex'!J32</f>
        <v>0</v>
      </c>
      <c r="D13" s="1467">
        <f>'A5-Capex'!K14+'A5-Capex'!K32</f>
        <v>0</v>
      </c>
      <c r="E13" s="1468">
        <f>'A5-Capex'!L14+'A5-Capex'!L32</f>
        <v>0</v>
      </c>
      <c r="F13" s="1623"/>
      <c r="G13" s="1621"/>
      <c r="H13" s="1621"/>
      <c r="I13" s="1622"/>
      <c r="J13" s="369"/>
    </row>
    <row r="14" spans="1:10" ht="11.25" customHeight="1" x14ac:dyDescent="0.25">
      <c r="A14" s="1169" t="str">
        <f>'A5-Capex'!A15</f>
        <v>Vote 10 - 550 ROADS &amp; STORMWATER</v>
      </c>
      <c r="B14" s="182"/>
      <c r="C14" s="1467">
        <f>'A5-Capex'!J15+'A5-Capex'!J33</f>
        <v>0</v>
      </c>
      <c r="D14" s="1467">
        <f>'A5-Capex'!K15+'A5-Capex'!K33</f>
        <v>0</v>
      </c>
      <c r="E14" s="1468">
        <f>'A5-Capex'!L15+'A5-Capex'!L33</f>
        <v>0</v>
      </c>
      <c r="F14" s="1623"/>
      <c r="G14" s="1621"/>
      <c r="H14" s="1621"/>
      <c r="I14" s="1622"/>
      <c r="J14" s="369"/>
    </row>
    <row r="15" spans="1:10" ht="11.25" customHeight="1" x14ac:dyDescent="0.25">
      <c r="A15" s="1169" t="str">
        <f>'A5-Capex'!A16</f>
        <v>Vote 11 - 560 SANITATION SERVICES</v>
      </c>
      <c r="B15" s="182"/>
      <c r="C15" s="1467">
        <f>'A5-Capex'!J16+'A5-Capex'!J34</f>
        <v>0</v>
      </c>
      <c r="D15" s="1467">
        <f>'A5-Capex'!K16+'A5-Capex'!K34</f>
        <v>0</v>
      </c>
      <c r="E15" s="1468">
        <f>'A5-Capex'!L16+'A5-Capex'!L34</f>
        <v>0</v>
      </c>
      <c r="F15" s="1623"/>
      <c r="G15" s="1621"/>
      <c r="H15" s="1621"/>
      <c r="I15" s="1622"/>
      <c r="J15" s="369"/>
    </row>
    <row r="16" spans="1:10" ht="11.25" customHeight="1" x14ac:dyDescent="0.25">
      <c r="A16" s="1169" t="str">
        <f>'A5-Capex'!A17</f>
        <v>Vote 12 - 106 CORPORATE SERVICES</v>
      </c>
      <c r="B16" s="182"/>
      <c r="C16" s="1467">
        <f>'A5-Capex'!J17+'A5-Capex'!J35</f>
        <v>0</v>
      </c>
      <c r="D16" s="1467">
        <f>'A5-Capex'!K17+'A5-Capex'!K35</f>
        <v>0</v>
      </c>
      <c r="E16" s="1468">
        <f>'A5-Capex'!L17+'A5-Capex'!L35</f>
        <v>0</v>
      </c>
      <c r="F16" s="1623"/>
      <c r="G16" s="1621"/>
      <c r="H16" s="1621"/>
      <c r="I16" s="1622"/>
      <c r="J16" s="369"/>
    </row>
    <row r="17" spans="1:10" ht="11.25" customHeight="1" x14ac:dyDescent="0.25">
      <c r="A17" s="1169" t="str">
        <f>'A5-Capex'!A18</f>
        <v>Vote 13 - 107 COMMUNITY SERVICES</v>
      </c>
      <c r="B17" s="182"/>
      <c r="C17" s="1467">
        <f>'A5-Capex'!J18+'A5-Capex'!J36</f>
        <v>0</v>
      </c>
      <c r="D17" s="1467">
        <f>'A5-Capex'!K18+'A5-Capex'!K36</f>
        <v>0</v>
      </c>
      <c r="E17" s="1468">
        <f>'A5-Capex'!L18+'A5-Capex'!L36</f>
        <v>0</v>
      </c>
      <c r="F17" s="1623"/>
      <c r="G17" s="1621"/>
      <c r="H17" s="1621"/>
      <c r="I17" s="1622"/>
      <c r="J17" s="369"/>
    </row>
    <row r="18" spans="1:10" ht="11.25" customHeight="1" x14ac:dyDescent="0.25">
      <c r="A18" s="1169" t="str">
        <f>'A5-Capex'!A19</f>
        <v>Vote 14 - 108 PUBLIC SAFETY &amp; ROADS</v>
      </c>
      <c r="B18" s="182"/>
      <c r="C18" s="1467">
        <f>'A5-Capex'!J19+'A5-Capex'!J37</f>
        <v>0</v>
      </c>
      <c r="D18" s="1467">
        <f>'A5-Capex'!K19+'A5-Capex'!K37</f>
        <v>0</v>
      </c>
      <c r="E18" s="1468">
        <f>'A5-Capex'!L19+'A5-Capex'!L37</f>
        <v>0</v>
      </c>
      <c r="F18" s="1623"/>
      <c r="G18" s="1621"/>
      <c r="H18" s="1621"/>
      <c r="I18" s="1622"/>
      <c r="J18" s="369"/>
    </row>
    <row r="19" spans="1:10" ht="11.25" customHeight="1" x14ac:dyDescent="0.25">
      <c r="A19" s="1169" t="str">
        <f>'A5-Capex'!A20</f>
        <v>Vote 15 - 300 SPORTS,RECREATION ARTS,CULTURE AND PROPERTY SERVICES</v>
      </c>
      <c r="B19" s="182"/>
      <c r="C19" s="1467">
        <f>'A5-Capex'!J20+'A5-Capex'!J38</f>
        <v>0</v>
      </c>
      <c r="D19" s="1467">
        <f>'A5-Capex'!K20+'A5-Capex'!K38</f>
        <v>0</v>
      </c>
      <c r="E19" s="1468">
        <f>'A5-Capex'!L20+'A5-Capex'!L38</f>
        <v>0</v>
      </c>
      <c r="F19" s="1623"/>
      <c r="G19" s="1621"/>
      <c r="H19" s="1621"/>
      <c r="I19" s="1622"/>
      <c r="J19" s="369"/>
    </row>
    <row r="20" spans="1:10" ht="11.25" customHeight="1" x14ac:dyDescent="0.25">
      <c r="A20" s="1940" t="s">
        <v>1475</v>
      </c>
      <c r="B20" s="182"/>
      <c r="C20" s="1621"/>
      <c r="D20" s="1621"/>
      <c r="E20" s="1624"/>
      <c r="F20" s="1623"/>
      <c r="G20" s="1621"/>
      <c r="H20" s="1621"/>
      <c r="I20" s="1622"/>
      <c r="J20" s="369"/>
    </row>
    <row r="21" spans="1:10" ht="11.25" customHeight="1" x14ac:dyDescent="0.25">
      <c r="A21" s="1284" t="s">
        <v>38</v>
      </c>
      <c r="B21" s="182"/>
      <c r="C21" s="1348">
        <f>SUM(C5:C20)</f>
        <v>116339135</v>
      </c>
      <c r="D21" s="1348">
        <f t="shared" ref="D21:I21" si="0">SUM(D5:D20)</f>
        <v>123203143.96500003</v>
      </c>
      <c r="E21" s="1349">
        <f t="shared" si="0"/>
        <v>130102520.02704008</v>
      </c>
      <c r="F21" s="1347">
        <f t="shared" si="0"/>
        <v>0</v>
      </c>
      <c r="G21" s="1348">
        <f t="shared" si="0"/>
        <v>0</v>
      </c>
      <c r="H21" s="1348">
        <f t="shared" si="0"/>
        <v>0</v>
      </c>
      <c r="I21" s="1346">
        <f t="shared" si="0"/>
        <v>0</v>
      </c>
      <c r="J21" s="369"/>
    </row>
    <row r="22" spans="1:10" ht="4.5" customHeight="1" x14ac:dyDescent="0.25">
      <c r="A22" s="273"/>
      <c r="B22" s="182"/>
      <c r="C22" s="937"/>
      <c r="D22" s="937"/>
      <c r="E22" s="938"/>
      <c r="F22" s="939"/>
      <c r="G22" s="937"/>
      <c r="H22" s="937"/>
      <c r="I22" s="940"/>
      <c r="J22" s="369"/>
    </row>
    <row r="23" spans="1:10" ht="11.25" customHeight="1" x14ac:dyDescent="0.25">
      <c r="A23" s="249" t="s">
        <v>874</v>
      </c>
      <c r="B23" s="182">
        <v>2</v>
      </c>
      <c r="C23" s="933"/>
      <c r="D23" s="933"/>
      <c r="E23" s="934"/>
      <c r="F23" s="935"/>
      <c r="G23" s="933"/>
      <c r="H23" s="933"/>
      <c r="I23" s="936"/>
      <c r="J23" s="369"/>
    </row>
    <row r="24" spans="1:10" ht="11.25" customHeight="1" x14ac:dyDescent="0.25">
      <c r="A24" s="1169" t="str">
        <f>A5</f>
        <v>Vote 1 - 100 COUNCIL &amp; GENERAL</v>
      </c>
      <c r="B24" s="182"/>
      <c r="C24" s="1621"/>
      <c r="D24" s="1621"/>
      <c r="E24" s="1624"/>
      <c r="F24" s="1623"/>
      <c r="G24" s="1621"/>
      <c r="H24" s="1621"/>
      <c r="I24" s="1622"/>
      <c r="J24" s="369"/>
    </row>
    <row r="25" spans="1:10" ht="11.25" customHeight="1" x14ac:dyDescent="0.25">
      <c r="A25" s="1169" t="str">
        <f t="shared" ref="A25:A38" si="1">A6</f>
        <v>Vote 2 - 102 MUNICIPAL MANAGER</v>
      </c>
      <c r="B25" s="182"/>
      <c r="C25" s="1621"/>
      <c r="D25" s="1621"/>
      <c r="E25" s="1624"/>
      <c r="F25" s="1623"/>
      <c r="G25" s="1621"/>
      <c r="H25" s="1621"/>
      <c r="I25" s="1622"/>
      <c r="J25" s="369"/>
    </row>
    <row r="26" spans="1:10" ht="11.25" customHeight="1" x14ac:dyDescent="0.25">
      <c r="A26" s="1169" t="str">
        <f t="shared" si="1"/>
        <v>Vote 3 - 103 PLANNING and DEVELOPMENT</v>
      </c>
      <c r="B26" s="182"/>
      <c r="C26" s="1621"/>
      <c r="D26" s="1621"/>
      <c r="E26" s="1624"/>
      <c r="F26" s="1623"/>
      <c r="G26" s="1621"/>
      <c r="H26" s="1621"/>
      <c r="I26" s="1622"/>
      <c r="J26" s="369"/>
    </row>
    <row r="27" spans="1:10" ht="11.25" customHeight="1" x14ac:dyDescent="0.25">
      <c r="A27" s="1169" t="str">
        <f t="shared" si="1"/>
        <v>Vote 4 - 104 FINANCE</v>
      </c>
      <c r="B27" s="182"/>
      <c r="C27" s="1621"/>
      <c r="D27" s="1621"/>
      <c r="E27" s="1624"/>
      <c r="F27" s="1623"/>
      <c r="G27" s="1621"/>
      <c r="H27" s="1621"/>
      <c r="I27" s="1622"/>
      <c r="J27" s="369"/>
    </row>
    <row r="28" spans="1:10" ht="11.25" customHeight="1" x14ac:dyDescent="0.25">
      <c r="A28" s="1169" t="str">
        <f t="shared" si="1"/>
        <v>Vote 5 - 105 TECHNICAL SERVICES</v>
      </c>
      <c r="B28" s="182"/>
      <c r="C28" s="1621"/>
      <c r="D28" s="1621"/>
      <c r="E28" s="1624"/>
      <c r="F28" s="1623"/>
      <c r="G28" s="1621"/>
      <c r="H28" s="1621"/>
      <c r="I28" s="1622"/>
      <c r="J28" s="369"/>
    </row>
    <row r="29" spans="1:10" ht="11.25" customHeight="1" x14ac:dyDescent="0.25">
      <c r="A29" s="1169" t="str">
        <f t="shared" si="1"/>
        <v>Vote 6 - 500 PMU</v>
      </c>
      <c r="B29" s="182"/>
      <c r="C29" s="1621"/>
      <c r="D29" s="1621"/>
      <c r="E29" s="1624"/>
      <c r="F29" s="1623"/>
      <c r="G29" s="1621"/>
      <c r="H29" s="1621"/>
      <c r="I29" s="1622"/>
      <c r="J29" s="369"/>
    </row>
    <row r="30" spans="1:10" ht="11.25" customHeight="1" x14ac:dyDescent="0.25">
      <c r="A30" s="1169" t="str">
        <f t="shared" si="1"/>
        <v>Vote 7 - 520 WASTE MANAGEMENT</v>
      </c>
      <c r="B30" s="182"/>
      <c r="C30" s="1621"/>
      <c r="D30" s="1621"/>
      <c r="E30" s="1624"/>
      <c r="F30" s="1623"/>
      <c r="G30" s="1621"/>
      <c r="H30" s="1621"/>
      <c r="I30" s="1622"/>
      <c r="J30" s="369"/>
    </row>
    <row r="31" spans="1:10" ht="11.25" customHeight="1" x14ac:dyDescent="0.25">
      <c r="A31" s="1169" t="str">
        <f t="shared" si="1"/>
        <v>Vote 8 - 530 ELECTRICITY SERVICES</v>
      </c>
      <c r="B31" s="182"/>
      <c r="C31" s="1621"/>
      <c r="D31" s="1621"/>
      <c r="E31" s="1624"/>
      <c r="F31" s="1623"/>
      <c r="G31" s="1621"/>
      <c r="H31" s="1621"/>
      <c r="I31" s="1622"/>
      <c r="J31" s="369"/>
    </row>
    <row r="32" spans="1:10" ht="11.25" customHeight="1" x14ac:dyDescent="0.25">
      <c r="A32" s="1169" t="str">
        <f t="shared" si="1"/>
        <v>Vote 9 - 540 WATER SERVICES</v>
      </c>
      <c r="B32" s="182"/>
      <c r="C32" s="1621"/>
      <c r="D32" s="1621"/>
      <c r="E32" s="1624"/>
      <c r="F32" s="1623"/>
      <c r="G32" s="1621"/>
      <c r="H32" s="1621"/>
      <c r="I32" s="1622"/>
      <c r="J32" s="369"/>
    </row>
    <row r="33" spans="1:15" ht="11.25" customHeight="1" x14ac:dyDescent="0.25">
      <c r="A33" s="1169" t="str">
        <f t="shared" si="1"/>
        <v>Vote 10 - 550 ROADS &amp; STORMWATER</v>
      </c>
      <c r="B33" s="182"/>
      <c r="C33" s="1621"/>
      <c r="D33" s="1621"/>
      <c r="E33" s="1624"/>
      <c r="F33" s="1623"/>
      <c r="G33" s="1621"/>
      <c r="H33" s="1621"/>
      <c r="I33" s="1622"/>
      <c r="J33" s="369"/>
    </row>
    <row r="34" spans="1:15" ht="11.25" customHeight="1" x14ac:dyDescent="0.25">
      <c r="A34" s="1169" t="str">
        <f t="shared" si="1"/>
        <v>Vote 11 - 560 SANITATION SERVICES</v>
      </c>
      <c r="B34" s="182"/>
      <c r="C34" s="1621"/>
      <c r="D34" s="1621"/>
      <c r="E34" s="1624"/>
      <c r="F34" s="1623"/>
      <c r="G34" s="1621"/>
      <c r="H34" s="1621"/>
      <c r="I34" s="1622"/>
      <c r="J34" s="369"/>
    </row>
    <row r="35" spans="1:15" ht="11.25" customHeight="1" x14ac:dyDescent="0.25">
      <c r="A35" s="1169" t="str">
        <f t="shared" si="1"/>
        <v>Vote 12 - 106 CORPORATE SERVICES</v>
      </c>
      <c r="B35" s="182"/>
      <c r="C35" s="1621"/>
      <c r="D35" s="1621"/>
      <c r="E35" s="1624"/>
      <c r="F35" s="1623"/>
      <c r="G35" s="1621"/>
      <c r="H35" s="1621"/>
      <c r="I35" s="1622"/>
      <c r="J35" s="369"/>
    </row>
    <row r="36" spans="1:15" ht="11.25" customHeight="1" x14ac:dyDescent="0.25">
      <c r="A36" s="1169" t="str">
        <f t="shared" si="1"/>
        <v>Vote 13 - 107 COMMUNITY SERVICES</v>
      </c>
      <c r="B36" s="182"/>
      <c r="C36" s="1621"/>
      <c r="D36" s="1621"/>
      <c r="E36" s="1624"/>
      <c r="F36" s="1623"/>
      <c r="G36" s="1621"/>
      <c r="H36" s="1621"/>
      <c r="I36" s="1622"/>
      <c r="J36" s="369"/>
    </row>
    <row r="37" spans="1:15" ht="11.25" customHeight="1" x14ac:dyDescent="0.25">
      <c r="A37" s="1169" t="str">
        <f t="shared" si="1"/>
        <v>Vote 14 - 108 PUBLIC SAFETY &amp; ROADS</v>
      </c>
      <c r="B37" s="182"/>
      <c r="C37" s="1621"/>
      <c r="D37" s="1621"/>
      <c r="E37" s="1624"/>
      <c r="F37" s="1623"/>
      <c r="G37" s="1621"/>
      <c r="H37" s="1621"/>
      <c r="I37" s="1622"/>
      <c r="J37" s="369"/>
      <c r="O37" s="369"/>
    </row>
    <row r="38" spans="1:15" ht="11.25" customHeight="1" x14ac:dyDescent="0.25">
      <c r="A38" s="1169" t="str">
        <f t="shared" si="1"/>
        <v>Vote 15 - 300 SPORTS,RECREATION ARTS,CULTURE AND PROPERTY SERVICES</v>
      </c>
      <c r="B38" s="182"/>
      <c r="C38" s="1621"/>
      <c r="D38" s="1621"/>
      <c r="E38" s="1624"/>
      <c r="F38" s="1623"/>
      <c r="G38" s="1621"/>
      <c r="H38" s="1621"/>
      <c r="I38" s="1622"/>
      <c r="J38" s="369"/>
    </row>
    <row r="39" spans="1:15" ht="11.25" customHeight="1" x14ac:dyDescent="0.25">
      <c r="A39" s="1940" t="s">
        <v>1475</v>
      </c>
      <c r="B39" s="182"/>
      <c r="C39" s="1621"/>
      <c r="D39" s="1621"/>
      <c r="E39" s="1624"/>
      <c r="F39" s="1623"/>
      <c r="G39" s="1621"/>
      <c r="H39" s="1621"/>
      <c r="I39" s="1622"/>
      <c r="J39" s="369"/>
    </row>
    <row r="40" spans="1:15" x14ac:dyDescent="0.25">
      <c r="A40" s="265" t="s">
        <v>14</v>
      </c>
      <c r="B40" s="182"/>
      <c r="C40" s="1469">
        <f>SUM(C24:C39)</f>
        <v>0</v>
      </c>
      <c r="D40" s="1469">
        <f t="shared" ref="D40:I40" si="2">SUM(D24:D39)</f>
        <v>0</v>
      </c>
      <c r="E40" s="1470">
        <f t="shared" si="2"/>
        <v>0</v>
      </c>
      <c r="F40" s="1471">
        <f t="shared" si="2"/>
        <v>0</v>
      </c>
      <c r="G40" s="1469">
        <f t="shared" si="2"/>
        <v>0</v>
      </c>
      <c r="H40" s="1469">
        <f t="shared" si="2"/>
        <v>0</v>
      </c>
      <c r="I40" s="1472">
        <f t="shared" si="2"/>
        <v>0</v>
      </c>
      <c r="J40" s="369"/>
    </row>
    <row r="41" spans="1:15" ht="4.5" customHeight="1" x14ac:dyDescent="0.25">
      <c r="A41" s="273"/>
      <c r="B41" s="182"/>
      <c r="C41" s="933"/>
      <c r="D41" s="933"/>
      <c r="E41" s="934"/>
      <c r="F41" s="935"/>
      <c r="G41" s="933"/>
      <c r="H41" s="933"/>
      <c r="I41" s="936"/>
      <c r="J41" s="369"/>
    </row>
    <row r="42" spans="1:15" ht="11.25" customHeight="1" x14ac:dyDescent="0.25">
      <c r="A42" s="249" t="s">
        <v>875</v>
      </c>
      <c r="B42" s="182">
        <v>3</v>
      </c>
      <c r="C42" s="933"/>
      <c r="D42" s="933"/>
      <c r="E42" s="934"/>
      <c r="F42" s="935"/>
      <c r="G42" s="933"/>
      <c r="H42" s="933"/>
      <c r="I42" s="936"/>
      <c r="J42" s="369"/>
    </row>
    <row r="43" spans="1:15" ht="11.25" customHeight="1" x14ac:dyDescent="0.25">
      <c r="A43" s="1169" t="str">
        <f>'A4-FinPerf RE'!A5</f>
        <v>Property rates</v>
      </c>
      <c r="B43" s="182"/>
      <c r="C43" s="1621"/>
      <c r="D43" s="1621"/>
      <c r="E43" s="1624"/>
      <c r="F43" s="1623"/>
      <c r="G43" s="1621"/>
      <c r="H43" s="1621"/>
      <c r="I43" s="1622"/>
      <c r="J43" s="369"/>
    </row>
    <row r="44" spans="1:15" ht="11.25" customHeight="1" x14ac:dyDescent="0.25">
      <c r="A44" s="1169" t="str">
        <f>'A4-FinPerf RE'!A6</f>
        <v>Property rates - penalties &amp; collection charges</v>
      </c>
      <c r="B44" s="182"/>
      <c r="C44" s="1621"/>
      <c r="D44" s="1621"/>
      <c r="E44" s="1624"/>
      <c r="F44" s="1623"/>
      <c r="G44" s="1621"/>
      <c r="H44" s="1621"/>
      <c r="I44" s="1622"/>
      <c r="J44" s="369"/>
    </row>
    <row r="45" spans="1:15" ht="11.25" customHeight="1" x14ac:dyDescent="0.25">
      <c r="A45" s="1169" t="str">
        <f>'A4-FinPerf RE'!A7</f>
        <v>Service charges - electricity revenue</v>
      </c>
      <c r="B45" s="182"/>
      <c r="C45" s="1621"/>
      <c r="D45" s="1621"/>
      <c r="E45" s="1624"/>
      <c r="F45" s="1623"/>
      <c r="G45" s="1621"/>
      <c r="H45" s="1621"/>
      <c r="I45" s="1622"/>
      <c r="J45" s="369"/>
    </row>
    <row r="46" spans="1:15" ht="11.25" customHeight="1" x14ac:dyDescent="0.25">
      <c r="A46" s="1169" t="str">
        <f>'A4-FinPerf RE'!A8</f>
        <v>Service charges - water revenue</v>
      </c>
      <c r="B46" s="182"/>
      <c r="C46" s="1621"/>
      <c r="D46" s="1621"/>
      <c r="E46" s="1624"/>
      <c r="F46" s="1623"/>
      <c r="G46" s="1621"/>
      <c r="H46" s="1621"/>
      <c r="I46" s="1622"/>
      <c r="J46" s="369"/>
    </row>
    <row r="47" spans="1:15" ht="11.25" customHeight="1" x14ac:dyDescent="0.25">
      <c r="A47" s="1169" t="str">
        <f>'A4-FinPerf RE'!A9</f>
        <v>Service charges - sanitation revenue</v>
      </c>
      <c r="B47" s="182"/>
      <c r="C47" s="1621"/>
      <c r="D47" s="1621"/>
      <c r="E47" s="1624"/>
      <c r="F47" s="1623"/>
      <c r="G47" s="1621"/>
      <c r="H47" s="1621"/>
      <c r="I47" s="1622"/>
      <c r="J47" s="369"/>
    </row>
    <row r="48" spans="1:15" ht="11.25" customHeight="1" x14ac:dyDescent="0.25">
      <c r="A48" s="1169" t="str">
        <f>'A4-FinPerf RE'!A10</f>
        <v>Service charges - refuse revenue</v>
      </c>
      <c r="B48" s="182"/>
      <c r="C48" s="1621"/>
      <c r="D48" s="1621"/>
      <c r="E48" s="1624"/>
      <c r="F48" s="1623"/>
      <c r="G48" s="1621"/>
      <c r="H48" s="1621"/>
      <c r="I48" s="1622"/>
      <c r="J48" s="369"/>
    </row>
    <row r="49" spans="1:10" ht="11.25" customHeight="1" x14ac:dyDescent="0.25">
      <c r="A49" s="1169" t="str">
        <f>'A4-FinPerf RE'!A11</f>
        <v>Service charges - other</v>
      </c>
      <c r="B49" s="182"/>
      <c r="C49" s="1621"/>
      <c r="D49" s="1621"/>
      <c r="E49" s="1624"/>
      <c r="F49" s="1623"/>
      <c r="G49" s="1621"/>
      <c r="H49" s="1621"/>
      <c r="I49" s="1622"/>
      <c r="J49" s="369"/>
    </row>
    <row r="50" spans="1:10" ht="11.25" customHeight="1" x14ac:dyDescent="0.25">
      <c r="A50" s="1169" t="str">
        <f>'A4-FinPerf RE'!A12</f>
        <v>Rental of facilities and equipment</v>
      </c>
      <c r="B50" s="182"/>
      <c r="C50" s="1621"/>
      <c r="D50" s="1621"/>
      <c r="E50" s="1624"/>
      <c r="F50" s="1623"/>
      <c r="G50" s="1621"/>
      <c r="H50" s="1621"/>
      <c r="I50" s="1622"/>
      <c r="J50" s="369"/>
    </row>
    <row r="51" spans="1:10" ht="11.25" customHeight="1" x14ac:dyDescent="0.25">
      <c r="A51" s="1940" t="s">
        <v>298</v>
      </c>
      <c r="B51" s="182"/>
      <c r="C51" s="1621"/>
      <c r="D51" s="1621"/>
      <c r="E51" s="1624"/>
      <c r="F51" s="1623"/>
      <c r="G51" s="1621"/>
      <c r="H51" s="1621"/>
      <c r="I51" s="1622"/>
      <c r="J51" s="369"/>
    </row>
    <row r="52" spans="1:10" ht="11.25" customHeight="1" x14ac:dyDescent="0.25">
      <c r="A52" s="1940" t="s">
        <v>1475</v>
      </c>
      <c r="B52" s="182"/>
      <c r="C52" s="1621"/>
      <c r="D52" s="1621"/>
      <c r="E52" s="1624"/>
      <c r="F52" s="1623"/>
      <c r="G52" s="1621"/>
      <c r="H52" s="1621"/>
      <c r="I52" s="1622"/>
      <c r="J52" s="369"/>
    </row>
    <row r="53" spans="1:10" x14ac:dyDescent="0.25">
      <c r="A53" s="265" t="s">
        <v>124</v>
      </c>
      <c r="B53" s="182"/>
      <c r="C53" s="1469">
        <f>SUM(C43:C52)</f>
        <v>0</v>
      </c>
      <c r="D53" s="1469">
        <f t="shared" ref="D53:I53" si="3">SUM(D43:D52)</f>
        <v>0</v>
      </c>
      <c r="E53" s="1470">
        <f t="shared" si="3"/>
        <v>0</v>
      </c>
      <c r="F53" s="1471">
        <f t="shared" si="3"/>
        <v>0</v>
      </c>
      <c r="G53" s="1469">
        <f t="shared" si="3"/>
        <v>0</v>
      </c>
      <c r="H53" s="1469">
        <f t="shared" si="3"/>
        <v>0</v>
      </c>
      <c r="I53" s="1472">
        <f t="shared" si="3"/>
        <v>0</v>
      </c>
      <c r="J53" s="369"/>
    </row>
    <row r="54" spans="1:10" x14ac:dyDescent="0.25">
      <c r="A54" s="281" t="s">
        <v>876</v>
      </c>
      <c r="B54" s="225"/>
      <c r="C54" s="227">
        <f t="shared" ref="C54:I54" si="4">C21+C40-C53</f>
        <v>116339135</v>
      </c>
      <c r="D54" s="227">
        <f t="shared" si="4"/>
        <v>123203143.96500003</v>
      </c>
      <c r="E54" s="226">
        <f t="shared" si="4"/>
        <v>130102520.02704008</v>
      </c>
      <c r="F54" s="353">
        <f t="shared" si="4"/>
        <v>0</v>
      </c>
      <c r="G54" s="227">
        <f t="shared" si="4"/>
        <v>0</v>
      </c>
      <c r="H54" s="227">
        <f t="shared" si="4"/>
        <v>0</v>
      </c>
      <c r="I54" s="352">
        <f t="shared" si="4"/>
        <v>0</v>
      </c>
      <c r="J54" s="369"/>
    </row>
    <row r="55" spans="1:10" s="708" customFormat="1" ht="11.25" customHeight="1" x14ac:dyDescent="0.25">
      <c r="A55" s="1257" t="str">
        <f>head27a</f>
        <v>References</v>
      </c>
      <c r="B55" s="1078"/>
      <c r="C55" s="1074"/>
      <c r="D55" s="1074"/>
      <c r="E55" s="1074"/>
      <c r="F55" s="1074"/>
      <c r="G55" s="1074"/>
      <c r="H55" s="1074"/>
      <c r="I55" s="1074"/>
    </row>
    <row r="56" spans="1:10" s="708" customFormat="1" ht="11.25" customHeight="1" x14ac:dyDescent="0.25">
      <c r="A56" s="1258" t="s">
        <v>19</v>
      </c>
      <c r="B56" s="1074"/>
      <c r="C56" s="1074"/>
      <c r="D56" s="1074"/>
      <c r="E56" s="1074"/>
      <c r="F56" s="1074"/>
      <c r="G56" s="1074"/>
      <c r="H56" s="1074"/>
      <c r="I56" s="1074"/>
    </row>
    <row r="57" spans="1:10" s="708" customFormat="1" ht="11.25" customHeight="1" x14ac:dyDescent="0.25">
      <c r="A57" s="1258" t="s">
        <v>20</v>
      </c>
      <c r="B57" s="1074"/>
      <c r="C57" s="1074"/>
      <c r="D57" s="1074"/>
      <c r="E57" s="1074"/>
      <c r="F57" s="1074"/>
      <c r="G57" s="1074"/>
      <c r="H57" s="1074"/>
      <c r="I57" s="1074"/>
    </row>
    <row r="58" spans="1:10" s="708" customFormat="1" ht="11.25" customHeight="1" x14ac:dyDescent="0.25">
      <c r="A58" s="1423" t="s">
        <v>1474</v>
      </c>
      <c r="B58" s="1084"/>
      <c r="C58" s="1084"/>
      <c r="D58" s="1084"/>
      <c r="E58" s="1084"/>
      <c r="F58" s="1084"/>
      <c r="G58" s="1084"/>
      <c r="H58" s="1084"/>
      <c r="I58" s="1084"/>
    </row>
    <row r="59" spans="1:10" ht="11.25" customHeight="1" x14ac:dyDescent="0.25">
      <c r="B59" s="149"/>
    </row>
    <row r="60" spans="1:10" x14ac:dyDescent="0.25">
      <c r="A60" s="436" t="s">
        <v>1509</v>
      </c>
      <c r="B60" s="149"/>
      <c r="C60" s="934">
        <f>C21-('A5-Capex'!J21+'A5-Capex'!J39)</f>
        <v>0</v>
      </c>
      <c r="D60" s="934">
        <f>D21-('A5-Capex'!K21+'A5-Capex'!K39)</f>
        <v>0</v>
      </c>
      <c r="E60" s="934">
        <f>E21-('A5-Capex'!L21+'A5-Capex'!L39)</f>
        <v>0</v>
      </c>
      <c r="F60" s="369"/>
    </row>
    <row r="61" spans="1:10" ht="11.25" customHeight="1" x14ac:dyDescent="0.25">
      <c r="B61" s="149"/>
    </row>
    <row r="62" spans="1:10" ht="11.25" customHeight="1" x14ac:dyDescent="0.25">
      <c r="B62" s="149"/>
    </row>
    <row r="63" spans="1:10" ht="11.25" customHeight="1" x14ac:dyDescent="0.25">
      <c r="B63" s="149"/>
    </row>
    <row r="64" spans="1:10" ht="11.25" customHeight="1" x14ac:dyDescent="0.25">
      <c r="B64" s="149"/>
    </row>
    <row r="65" spans="2:2" ht="11.25" customHeight="1" x14ac:dyDescent="0.25">
      <c r="B65" s="149"/>
    </row>
    <row r="66" spans="2:2" ht="11.25" customHeight="1" x14ac:dyDescent="0.25">
      <c r="B66" s="149"/>
    </row>
    <row r="67" spans="2:2" ht="11.25" customHeight="1" x14ac:dyDescent="0.25">
      <c r="B67" s="149"/>
    </row>
    <row r="68" spans="2:2" ht="11.25" customHeight="1" x14ac:dyDescent="0.25">
      <c r="B68" s="149"/>
    </row>
    <row r="69" spans="2:2" ht="11.25" customHeight="1" x14ac:dyDescent="0.25">
      <c r="B69" s="149"/>
    </row>
    <row r="70" spans="2:2" ht="11.25" customHeight="1" x14ac:dyDescent="0.25">
      <c r="B70" s="149"/>
    </row>
    <row r="71" spans="2:2" ht="11.25" customHeight="1" x14ac:dyDescent="0.25">
      <c r="B71" s="149"/>
    </row>
    <row r="72" spans="2:2" ht="11.25" customHeight="1" x14ac:dyDescent="0.25">
      <c r="B72" s="149"/>
    </row>
    <row r="73" spans="2:2" ht="11.25" customHeight="1" x14ac:dyDescent="0.25">
      <c r="B73" s="149"/>
    </row>
    <row r="74" spans="2:2" ht="11.25" customHeight="1" x14ac:dyDescent="0.25">
      <c r="B74" s="149"/>
    </row>
    <row r="75" spans="2:2" ht="11.25" customHeight="1" x14ac:dyDescent="0.25">
      <c r="B75" s="149"/>
    </row>
    <row r="76" spans="2:2" ht="11.25" customHeight="1" x14ac:dyDescent="0.25">
      <c r="B76" s="149"/>
    </row>
    <row r="77" spans="2:2" ht="11.25" customHeight="1" x14ac:dyDescent="0.25">
      <c r="B77" s="149"/>
    </row>
    <row r="78" spans="2:2" x14ac:dyDescent="0.25">
      <c r="B78" s="149"/>
    </row>
    <row r="79" spans="2:2" ht="11.25" customHeight="1" x14ac:dyDescent="0.25">
      <c r="B79" s="149"/>
    </row>
    <row r="80" spans="2:2" ht="11.25" customHeight="1" x14ac:dyDescent="0.25">
      <c r="B80" s="149"/>
    </row>
    <row r="81" spans="2:9" ht="11.25" customHeight="1" x14ac:dyDescent="0.25">
      <c r="B81" s="149"/>
    </row>
    <row r="82" spans="2:9" ht="11.25" customHeight="1" x14ac:dyDescent="0.25">
      <c r="B82" s="149"/>
    </row>
    <row r="83" spans="2:9" ht="11.25" customHeight="1" x14ac:dyDescent="0.25">
      <c r="B83" s="149"/>
    </row>
    <row r="84" spans="2:9" ht="11.25" customHeight="1" x14ac:dyDescent="0.25">
      <c r="B84" s="149"/>
    </row>
    <row r="85" spans="2:9" ht="6" customHeight="1" x14ac:dyDescent="0.25">
      <c r="B85" s="149"/>
    </row>
    <row r="86" spans="2:9" ht="11.25" customHeight="1" x14ac:dyDescent="0.25">
      <c r="B86" s="149"/>
    </row>
    <row r="87" spans="2:9" ht="11.25" customHeight="1" x14ac:dyDescent="0.25">
      <c r="B87" s="149"/>
    </row>
    <row r="88" spans="2:9" ht="11.25" customHeight="1" x14ac:dyDescent="0.25">
      <c r="B88" s="149"/>
    </row>
    <row r="89" spans="2:9" ht="11.25" customHeight="1" x14ac:dyDescent="0.25">
      <c r="B89" s="149"/>
    </row>
    <row r="90" spans="2:9" ht="11.25" customHeight="1" x14ac:dyDescent="0.25">
      <c r="B90" s="149"/>
    </row>
    <row r="91" spans="2:9" ht="11.25" customHeight="1" x14ac:dyDescent="0.25">
      <c r="B91" s="149"/>
    </row>
    <row r="92" spans="2:9" ht="11.25" customHeight="1" x14ac:dyDescent="0.25">
      <c r="B92" s="149"/>
    </row>
    <row r="93" spans="2:9" ht="11.25" customHeight="1" x14ac:dyDescent="0.25">
      <c r="B93" s="149"/>
    </row>
    <row r="94" spans="2:9" ht="11.25" customHeight="1" x14ac:dyDescent="0.25">
      <c r="B94" s="149"/>
    </row>
    <row r="95" spans="2:9" ht="11.25" customHeight="1" x14ac:dyDescent="0.25">
      <c r="B95" s="149"/>
    </row>
    <row r="96" spans="2:9" ht="11.25" customHeight="1" x14ac:dyDescent="0.25">
      <c r="B96" s="149"/>
      <c r="I96" s="334"/>
    </row>
    <row r="97" spans="1:8" ht="11.25" customHeight="1" x14ac:dyDescent="0.25">
      <c r="B97" s="149"/>
    </row>
    <row r="98" spans="1:8" ht="11.25" customHeight="1" x14ac:dyDescent="0.25">
      <c r="B98" s="149"/>
    </row>
    <row r="99" spans="1:8" ht="11.25" customHeight="1" x14ac:dyDescent="0.25">
      <c r="B99" s="149"/>
    </row>
    <row r="100" spans="1:8" x14ac:dyDescent="0.25">
      <c r="B100" s="149"/>
    </row>
    <row r="101" spans="1:8" x14ac:dyDescent="0.25">
      <c r="B101" s="149"/>
    </row>
    <row r="102" spans="1:8" ht="11.25" customHeight="1" x14ac:dyDescent="0.25">
      <c r="B102" s="149"/>
    </row>
    <row r="103" spans="1:8" x14ac:dyDescent="0.25">
      <c r="B103" s="149"/>
    </row>
    <row r="104" spans="1:8" x14ac:dyDescent="0.25">
      <c r="B104" s="149"/>
    </row>
    <row r="105" spans="1:8" x14ac:dyDescent="0.25">
      <c r="B105" s="149"/>
    </row>
    <row r="106" spans="1:8" x14ac:dyDescent="0.25">
      <c r="B106" s="149"/>
    </row>
    <row r="107" spans="1:8" ht="11.25" customHeight="1" x14ac:dyDescent="0.25">
      <c r="B107" s="149"/>
    </row>
    <row r="108" spans="1:8" s="335" customFormat="1" ht="11.25" customHeight="1" x14ac:dyDescent="0.25">
      <c r="A108" s="149"/>
      <c r="B108" s="149"/>
      <c r="C108" s="149"/>
      <c r="D108" s="149"/>
      <c r="E108" s="149"/>
      <c r="F108" s="149"/>
      <c r="G108" s="149"/>
      <c r="H108" s="149"/>
    </row>
    <row r="109" spans="1:8" ht="11.25" customHeight="1" x14ac:dyDescent="0.25">
      <c r="B109" s="149"/>
    </row>
    <row r="110" spans="1:8" ht="11.25" customHeight="1" x14ac:dyDescent="0.25">
      <c r="B110" s="149"/>
    </row>
    <row r="111" spans="1:8" ht="11.25" customHeight="1" x14ac:dyDescent="0.25">
      <c r="B111" s="149"/>
    </row>
    <row r="112" spans="1:8" ht="11.25" customHeight="1" x14ac:dyDescent="0.25">
      <c r="B112" s="149"/>
    </row>
    <row r="113" spans="2:2" ht="11.25" customHeight="1" x14ac:dyDescent="0.25">
      <c r="B113" s="149"/>
    </row>
    <row r="114" spans="2:2" ht="11.25" customHeight="1" x14ac:dyDescent="0.25">
      <c r="B114" s="149"/>
    </row>
    <row r="115" spans="2:2" ht="11.25" customHeight="1" x14ac:dyDescent="0.25">
      <c r="B115" s="149"/>
    </row>
    <row r="116" spans="2:2" ht="11.25" customHeight="1" x14ac:dyDescent="0.25">
      <c r="B116" s="149"/>
    </row>
    <row r="117" spans="2:2" ht="11.25" customHeight="1" x14ac:dyDescent="0.25">
      <c r="B117" s="149"/>
    </row>
    <row r="118" spans="2:2" ht="11.25" customHeight="1" x14ac:dyDescent="0.25">
      <c r="B118" s="149"/>
    </row>
    <row r="119" spans="2:2" ht="11.25" customHeight="1" x14ac:dyDescent="0.25">
      <c r="B119" s="149"/>
    </row>
    <row r="120" spans="2:2" ht="11.25" customHeight="1" x14ac:dyDescent="0.25">
      <c r="B120" s="149"/>
    </row>
    <row r="121" spans="2:2" ht="11.25" customHeight="1" x14ac:dyDescent="0.25">
      <c r="B121" s="149"/>
    </row>
    <row r="122" spans="2:2" ht="11.25" customHeight="1" x14ac:dyDescent="0.25">
      <c r="B122" s="149"/>
    </row>
    <row r="123" spans="2:2" ht="11.25" customHeight="1" x14ac:dyDescent="0.25">
      <c r="B123" s="149"/>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customSheetViews>
    <customSheetView guid="{F50C5479-5CC4-4FD7-8319-543D29E829F0}" showGridLines="0" fitToPage="1">
      <pane xSplit="2" ySplit="3" topLeftCell="C4" activePane="bottomRight" state="frozen"/>
      <selection pane="bottomRight" activeCell="E47" sqref="E47"/>
      <pageMargins left="0" right="0" top="0.78740157480314965" bottom="0.59055118110236227" header="0.51181102362204722" footer="0.39370078740157483"/>
      <printOptions horizontalCentered="1"/>
      <pageSetup paperSize="9" orientation="portrait" r:id="rId1"/>
      <headerFooter alignWithMargins="0"/>
    </customSheetView>
  </customSheetViews>
  <mergeCells count="2">
    <mergeCell ref="F2:I2"/>
    <mergeCell ref="C2:E2"/>
  </mergeCells>
  <phoneticPr fontId="2" type="noConversion"/>
  <printOptions horizontalCentered="1"/>
  <pageMargins left="0" right="0" top="0.78740157480314965" bottom="0.59055118110236227" header="0.51181102362204722" footer="0.39370078740157483"/>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Y1528"/>
  <sheetViews>
    <sheetView showGridLines="0" topLeftCell="A45" zoomScaleNormal="100" workbookViewId="0">
      <selection activeCell="B56" sqref="B56"/>
    </sheetView>
  </sheetViews>
  <sheetFormatPr defaultRowHeight="12.75" x14ac:dyDescent="0.2"/>
  <cols>
    <col min="1" max="1" width="20.7109375" style="2243" customWidth="1"/>
    <col min="2" max="2" width="40.7109375" style="2243" customWidth="1"/>
    <col min="3" max="3" width="20.7109375" style="2243" customWidth="1"/>
    <col min="4" max="4" width="40.7109375" style="2243" customWidth="1"/>
    <col min="5" max="5" width="8.85546875" style="1433" customWidth="1"/>
    <col min="6" max="10" width="8.7109375" style="1434" customWidth="1"/>
    <col min="11" max="15" width="12.85546875" style="1434" customWidth="1"/>
    <col min="16" max="17" width="30.7109375" style="1434" customWidth="1"/>
    <col min="18" max="16384" width="9.140625" style="1435"/>
  </cols>
  <sheetData>
    <row r="1" spans="1:17" ht="13.5" customHeight="1" x14ac:dyDescent="0.3">
      <c r="A1" s="1432" t="str">
        <f>muni&amp;" - "&amp;" Contact Information"</f>
        <v>MP315 Thembisile Hani -  Contact Information</v>
      </c>
      <c r="B1" s="2242"/>
    </row>
    <row r="2" spans="1:17" ht="13.5" customHeight="1" x14ac:dyDescent="0.2">
      <c r="A2" s="2244"/>
      <c r="B2" s="2245"/>
      <c r="C2" s="2244"/>
      <c r="D2" s="2244"/>
    </row>
    <row r="3" spans="1:17" ht="13.5" customHeight="1" thickBot="1" x14ac:dyDescent="0.3">
      <c r="A3" s="2246" t="s">
        <v>1022</v>
      </c>
      <c r="B3" s="2247"/>
      <c r="C3" s="2244"/>
      <c r="D3" s="2244"/>
    </row>
    <row r="4" spans="1:17" ht="13.5" customHeight="1" thickTop="1" x14ac:dyDescent="0.2">
      <c r="A4" s="2248" t="s">
        <v>1023</v>
      </c>
      <c r="B4" s="2644" t="str">
        <f>muni</f>
        <v>MP315 Thembisile Hani</v>
      </c>
      <c r="C4" s="2249" t="str">
        <f>IF(B4="Choose name from List","Set name on 'Instructions' sheet", "")</f>
        <v/>
      </c>
      <c r="D4" s="2250"/>
      <c r="F4" s="1437"/>
      <c r="G4" s="1437"/>
      <c r="H4" s="1437"/>
      <c r="I4" s="1438"/>
      <c r="J4" s="1437"/>
      <c r="K4" s="1439"/>
      <c r="L4" s="1439"/>
      <c r="M4" s="1439"/>
      <c r="N4" s="1439"/>
      <c r="O4" s="1439"/>
      <c r="P4" s="1520"/>
      <c r="Q4" s="1441"/>
    </row>
    <row r="5" spans="1:17" ht="13.5" customHeight="1" x14ac:dyDescent="0.2">
      <c r="A5" s="2251"/>
      <c r="B5" s="2252"/>
      <c r="C5" s="2250"/>
      <c r="D5" s="2250"/>
      <c r="F5" s="1437"/>
      <c r="G5" s="1437"/>
      <c r="H5" s="1437"/>
      <c r="I5" s="1438"/>
      <c r="J5" s="1437"/>
      <c r="K5" s="1439"/>
      <c r="L5" s="1439"/>
      <c r="M5" s="1439"/>
      <c r="N5" s="1439"/>
      <c r="O5" s="1439"/>
      <c r="P5" s="1520"/>
      <c r="Q5" s="1443"/>
    </row>
    <row r="6" spans="1:17" s="1444" customFormat="1" ht="13.5" customHeight="1" x14ac:dyDescent="0.25">
      <c r="A6" s="2253" t="s">
        <v>118</v>
      </c>
      <c r="B6" s="2254"/>
      <c r="C6" s="2255" t="s">
        <v>119</v>
      </c>
      <c r="D6" s="2256"/>
      <c r="E6" s="1442"/>
      <c r="F6" s="1437"/>
      <c r="G6" s="1437"/>
      <c r="H6" s="1438"/>
      <c r="I6" s="1438"/>
      <c r="J6" s="1437"/>
      <c r="K6" s="1439"/>
      <c r="L6" s="1439"/>
      <c r="M6" s="1439"/>
      <c r="N6" s="1439"/>
      <c r="O6" s="1439"/>
      <c r="P6" s="1520"/>
      <c r="Q6" s="1441"/>
    </row>
    <row r="7" spans="1:17" s="1444" customFormat="1" ht="13.5" customHeight="1" x14ac:dyDescent="0.2">
      <c r="A7" s="2257"/>
      <c r="B7" s="2258"/>
      <c r="C7" s="2256"/>
      <c r="D7" s="2256"/>
      <c r="E7" s="1442"/>
      <c r="F7" s="1437"/>
      <c r="G7" s="1437"/>
      <c r="H7" s="1438"/>
      <c r="I7" s="1438"/>
      <c r="J7" s="1437"/>
      <c r="K7" s="1439"/>
      <c r="L7" s="1439"/>
      <c r="M7" s="1439"/>
      <c r="N7" s="1439"/>
      <c r="O7" s="1439"/>
      <c r="P7" s="1520"/>
      <c r="Q7" s="1441"/>
    </row>
    <row r="8" spans="1:17" s="1444" customFormat="1" ht="13.5" customHeight="1" x14ac:dyDescent="0.2">
      <c r="A8" s="2259" t="s">
        <v>120</v>
      </c>
      <c r="B8" s="2260" t="str">
        <f>IF(B4&gt;" ",VLOOKUP(B4,'Lookup and lists'!B29:C307,2, FALSE)," ")</f>
        <v>MP MPUMALANGA</v>
      </c>
      <c r="C8" s="2755"/>
      <c r="D8" s="2755"/>
      <c r="E8" s="1442"/>
      <c r="F8" s="1437"/>
      <c r="G8" s="1437"/>
      <c r="H8" s="1438"/>
      <c r="I8" s="1438"/>
      <c r="J8" s="1437"/>
      <c r="K8" s="1439"/>
      <c r="L8" s="1439"/>
      <c r="M8" s="1439"/>
      <c r="N8" s="1439"/>
      <c r="O8" s="1439"/>
      <c r="P8" s="1520"/>
      <c r="Q8" s="1441"/>
    </row>
    <row r="9" spans="1:17" s="1444" customFormat="1" ht="13.5" customHeight="1" x14ac:dyDescent="0.2">
      <c r="A9" s="2262"/>
      <c r="B9" s="2263"/>
      <c r="C9" s="2261"/>
      <c r="D9" s="2261"/>
      <c r="E9" s="1442"/>
      <c r="F9" s="1437"/>
      <c r="G9" s="1437"/>
      <c r="H9" s="1438"/>
      <c r="I9" s="1438"/>
      <c r="J9" s="1437"/>
      <c r="K9" s="1439"/>
      <c r="L9" s="1439"/>
      <c r="M9" s="1439"/>
      <c r="N9" s="1439"/>
      <c r="O9" s="1439"/>
      <c r="P9" s="1520"/>
      <c r="Q9" s="1441"/>
    </row>
    <row r="10" spans="1:17" ht="13.5" customHeight="1" x14ac:dyDescent="0.2">
      <c r="A10" s="2264" t="s">
        <v>121</v>
      </c>
      <c r="B10" s="2728" t="s">
        <v>2883</v>
      </c>
      <c r="C10" s="2265"/>
      <c r="D10" s="2266"/>
      <c r="F10" s="1438"/>
      <c r="G10" s="1437"/>
      <c r="H10" s="1438"/>
      <c r="I10" s="1438"/>
      <c r="J10" s="1437"/>
      <c r="K10" s="1439"/>
      <c r="L10" s="1439"/>
      <c r="M10" s="1439"/>
      <c r="N10" s="1439"/>
      <c r="O10" s="1439"/>
      <c r="P10" s="1520"/>
      <c r="Q10" s="1441"/>
    </row>
    <row r="11" spans="1:17" ht="13.5" customHeight="1" x14ac:dyDescent="0.2">
      <c r="A11" s="2267"/>
      <c r="B11" s="2268"/>
      <c r="C11" s="2760"/>
      <c r="D11" s="2761"/>
      <c r="F11" s="1438"/>
      <c r="G11" s="1437"/>
      <c r="H11" s="1438"/>
      <c r="I11" s="1438"/>
      <c r="J11" s="1437"/>
      <c r="K11" s="1439"/>
      <c r="L11" s="1439"/>
      <c r="M11" s="1439"/>
      <c r="N11" s="1439"/>
      <c r="O11" s="1439"/>
      <c r="P11" s="1520"/>
      <c r="Q11" s="1443"/>
    </row>
    <row r="12" spans="1:17" ht="13.5" customHeight="1" x14ac:dyDescent="0.2">
      <c r="A12" s="2264" t="s">
        <v>1736</v>
      </c>
      <c r="B12" s="2269"/>
      <c r="C12" s="2270"/>
      <c r="D12" s="2270"/>
      <c r="F12" s="1438"/>
      <c r="G12" s="1438"/>
      <c r="H12" s="1438"/>
      <c r="I12" s="1438"/>
      <c r="J12" s="1437"/>
      <c r="K12" s="1439"/>
      <c r="L12" s="1439"/>
      <c r="M12" s="1439"/>
      <c r="N12" s="1439"/>
      <c r="O12" s="1439"/>
      <c r="P12" s="1520"/>
      <c r="Q12" s="1441"/>
    </row>
    <row r="13" spans="1:17" ht="13.5" customHeight="1" x14ac:dyDescent="0.2">
      <c r="A13" s="2271"/>
      <c r="B13" s="2272"/>
      <c r="C13" s="2762"/>
      <c r="D13" s="2762"/>
      <c r="F13" s="1438"/>
      <c r="G13" s="1438"/>
      <c r="H13" s="1438"/>
      <c r="I13" s="1445"/>
      <c r="J13" s="1438"/>
      <c r="K13" s="1439"/>
      <c r="L13" s="1439"/>
      <c r="M13" s="1439"/>
      <c r="N13" s="1439"/>
      <c r="O13" s="1439"/>
      <c r="P13" s="1520"/>
    </row>
    <row r="14" spans="1:17" ht="13.5" customHeight="1" thickBot="1" x14ac:dyDescent="0.25">
      <c r="A14" s="2756" t="s">
        <v>1740</v>
      </c>
      <c r="B14" s="2757"/>
      <c r="C14" s="2273"/>
      <c r="D14" s="2273"/>
      <c r="F14" s="1438"/>
      <c r="G14" s="1438"/>
      <c r="H14" s="1445"/>
      <c r="I14" s="1446"/>
      <c r="J14" s="1438"/>
      <c r="K14" s="1439"/>
      <c r="L14" s="1439"/>
      <c r="M14" s="1439"/>
      <c r="N14" s="1439"/>
      <c r="O14" s="1439"/>
      <c r="P14" s="1520"/>
    </row>
    <row r="15" spans="1:17" ht="13.5" customHeight="1" thickTop="1" x14ac:dyDescent="0.2">
      <c r="A15" s="2274" t="s">
        <v>1741</v>
      </c>
      <c r="B15" s="2275"/>
      <c r="F15" s="1445"/>
      <c r="G15" s="1438"/>
      <c r="H15" s="1446"/>
      <c r="I15" s="1446"/>
      <c r="J15" s="1438"/>
      <c r="K15" s="1439"/>
      <c r="L15" s="1439"/>
      <c r="M15" s="1439"/>
      <c r="N15" s="1439"/>
      <c r="O15" s="1439"/>
      <c r="P15" s="1520"/>
    </row>
    <row r="16" spans="1:17" s="1444" customFormat="1" ht="13.5" customHeight="1" x14ac:dyDescent="0.2">
      <c r="A16" s="2276" t="s">
        <v>1743</v>
      </c>
      <c r="B16" s="2277" t="s">
        <v>2296</v>
      </c>
      <c r="C16" s="2243"/>
      <c r="D16" s="2243"/>
      <c r="E16" s="1442"/>
      <c r="F16" s="1446"/>
      <c r="G16" s="1445"/>
      <c r="H16" s="1446"/>
      <c r="I16" s="1446"/>
      <c r="J16" s="1438"/>
      <c r="K16" s="1439"/>
      <c r="L16" s="1439"/>
      <c r="M16" s="1439"/>
      <c r="N16" s="1439"/>
      <c r="O16" s="1439"/>
      <c r="P16" s="1520"/>
      <c r="Q16" s="1434"/>
    </row>
    <row r="17" spans="1:17" ht="13.5" customHeight="1" x14ac:dyDescent="0.2">
      <c r="A17" s="2276" t="s">
        <v>1745</v>
      </c>
      <c r="B17" s="2277" t="s">
        <v>2297</v>
      </c>
      <c r="F17" s="1446"/>
      <c r="G17" s="1446"/>
      <c r="H17" s="1446"/>
      <c r="I17" s="1446"/>
      <c r="J17" s="1445"/>
      <c r="K17" s="1439"/>
      <c r="L17" s="1439"/>
      <c r="M17" s="1439"/>
      <c r="N17" s="1439"/>
      <c r="O17" s="1439"/>
      <c r="P17" s="1520"/>
    </row>
    <row r="18" spans="1:17" ht="13.5" customHeight="1" x14ac:dyDescent="0.2">
      <c r="A18" s="2278" t="s">
        <v>1746</v>
      </c>
      <c r="B18" s="2279">
        <v>458</v>
      </c>
      <c r="F18" s="1446"/>
      <c r="G18" s="1446"/>
      <c r="H18" s="1446"/>
      <c r="I18" s="1446"/>
      <c r="J18" s="1446"/>
      <c r="K18" s="1439"/>
      <c r="L18" s="1439"/>
      <c r="M18" s="1439"/>
      <c r="N18" s="1439"/>
      <c r="O18" s="1439"/>
      <c r="P18" s="1520"/>
    </row>
    <row r="19" spans="1:17" ht="13.5" customHeight="1" x14ac:dyDescent="0.2">
      <c r="A19" s="2280"/>
      <c r="B19" s="2281"/>
      <c r="F19" s="1446"/>
      <c r="G19" s="1446"/>
      <c r="H19" s="1446"/>
      <c r="I19" s="1446"/>
      <c r="J19" s="1446"/>
      <c r="K19" s="1439"/>
      <c r="L19" s="1439"/>
      <c r="M19" s="1439"/>
      <c r="N19" s="1439"/>
      <c r="O19" s="1439"/>
      <c r="P19" s="1520"/>
    </row>
    <row r="20" spans="1:17" ht="13.5" customHeight="1" x14ac:dyDescent="0.2">
      <c r="A20" s="2282" t="s">
        <v>1126</v>
      </c>
      <c r="B20" s="2283"/>
      <c r="F20" s="1446"/>
      <c r="G20" s="1446"/>
      <c r="H20" s="1446"/>
      <c r="I20" s="1446"/>
      <c r="J20" s="1446"/>
      <c r="K20" s="1439"/>
      <c r="L20" s="1439"/>
      <c r="M20" s="1439"/>
      <c r="N20" s="1439"/>
      <c r="O20" s="1439"/>
      <c r="P20" s="1520"/>
    </row>
    <row r="21" spans="1:17" ht="13.5" customHeight="1" x14ac:dyDescent="0.2">
      <c r="A21" s="2276" t="s">
        <v>1128</v>
      </c>
      <c r="B21" s="2277" t="s">
        <v>2884</v>
      </c>
      <c r="F21" s="1446"/>
      <c r="G21" s="1446"/>
      <c r="H21" s="1446"/>
      <c r="I21" s="1446"/>
      <c r="J21" s="1446"/>
      <c r="K21" s="1439"/>
      <c r="L21" s="1439"/>
      <c r="M21" s="1439"/>
      <c r="N21" s="1439"/>
      <c r="O21" s="1439"/>
      <c r="P21" s="1520"/>
    </row>
    <row r="22" spans="1:17" ht="13.5" customHeight="1" x14ac:dyDescent="0.2">
      <c r="A22" s="2276" t="s">
        <v>1130</v>
      </c>
      <c r="B22" s="2277" t="s">
        <v>2885</v>
      </c>
      <c r="F22" s="1446"/>
      <c r="G22" s="1446"/>
      <c r="H22" s="1446"/>
      <c r="I22" s="1446"/>
      <c r="J22" s="1446"/>
      <c r="K22" s="1439"/>
      <c r="L22" s="1439"/>
      <c r="M22" s="1439"/>
      <c r="N22" s="1439"/>
      <c r="O22" s="1439"/>
      <c r="P22" s="1520"/>
    </row>
    <row r="23" spans="1:17" ht="13.5" customHeight="1" x14ac:dyDescent="0.2">
      <c r="A23" s="2276" t="s">
        <v>1745</v>
      </c>
      <c r="B23" s="2277" t="s">
        <v>2886</v>
      </c>
      <c r="F23" s="1446"/>
      <c r="G23" s="1446"/>
      <c r="H23" s="1446"/>
      <c r="I23" s="1446"/>
      <c r="J23" s="1446"/>
      <c r="K23" s="1439"/>
      <c r="L23" s="1439"/>
      <c r="M23" s="1439"/>
      <c r="N23" s="1439"/>
      <c r="O23" s="1439"/>
      <c r="P23" s="1520"/>
    </row>
    <row r="24" spans="1:17" ht="13.5" customHeight="1" x14ac:dyDescent="0.2">
      <c r="A24" s="2278" t="s">
        <v>1746</v>
      </c>
      <c r="B24" s="2279">
        <v>458</v>
      </c>
      <c r="F24" s="1446"/>
      <c r="G24" s="1446"/>
      <c r="H24" s="1446"/>
      <c r="I24" s="1446"/>
      <c r="J24" s="1446"/>
      <c r="K24" s="1439"/>
      <c r="L24" s="1439"/>
      <c r="M24" s="1439"/>
      <c r="N24" s="1439"/>
      <c r="O24" s="1439"/>
      <c r="P24" s="1520"/>
    </row>
    <row r="25" spans="1:17" ht="13.5" customHeight="1" x14ac:dyDescent="0.2">
      <c r="A25" s="2280"/>
      <c r="B25" s="2281"/>
      <c r="F25" s="1446"/>
      <c r="G25" s="1446"/>
      <c r="H25" s="1446"/>
      <c r="I25" s="1446"/>
      <c r="J25" s="1446"/>
      <c r="K25" s="1439"/>
      <c r="L25" s="1439"/>
      <c r="M25" s="1439"/>
      <c r="N25" s="1439"/>
      <c r="O25" s="1439"/>
      <c r="P25" s="1520"/>
    </row>
    <row r="26" spans="1:17" ht="13.5" customHeight="1" x14ac:dyDescent="0.2">
      <c r="A26" s="2282" t="s">
        <v>1134</v>
      </c>
      <c r="B26" s="2284"/>
      <c r="F26" s="1446"/>
      <c r="G26" s="1446"/>
      <c r="H26" s="1446"/>
      <c r="I26" s="1446"/>
      <c r="J26" s="1446"/>
      <c r="K26" s="1439"/>
      <c r="L26" s="1439"/>
      <c r="M26" s="1439"/>
      <c r="N26" s="1439"/>
      <c r="O26" s="1439"/>
      <c r="P26" s="1520"/>
    </row>
    <row r="27" spans="1:17" ht="13.5" customHeight="1" x14ac:dyDescent="0.2">
      <c r="A27" s="2276" t="s">
        <v>1136</v>
      </c>
      <c r="B27" s="2287" t="s">
        <v>2298</v>
      </c>
      <c r="F27" s="1446"/>
      <c r="G27" s="1446"/>
      <c r="H27" s="1446"/>
      <c r="I27" s="1446"/>
      <c r="J27" s="1446"/>
      <c r="K27" s="1439"/>
      <c r="L27" s="1439"/>
      <c r="M27" s="1439"/>
      <c r="N27" s="1439"/>
      <c r="O27" s="1439"/>
      <c r="P27" s="1520"/>
    </row>
    <row r="28" spans="1:17" ht="13.5" customHeight="1" x14ac:dyDescent="0.2">
      <c r="A28" s="2278" t="s">
        <v>1138</v>
      </c>
      <c r="B28" s="2287" t="s">
        <v>2299</v>
      </c>
      <c r="I28" s="1447"/>
      <c r="J28" s="1446"/>
      <c r="K28" s="1446"/>
      <c r="L28" s="1446"/>
      <c r="M28" s="1446"/>
      <c r="N28" s="1446"/>
      <c r="O28" s="1446"/>
      <c r="P28" s="1520"/>
    </row>
    <row r="29" spans="1:17" ht="13.5" customHeight="1" x14ac:dyDescent="0.2">
      <c r="A29" s="2280"/>
      <c r="B29" s="2286"/>
      <c r="I29" s="1447"/>
      <c r="J29" s="1447"/>
      <c r="K29" s="1447"/>
      <c r="L29" s="1447"/>
      <c r="M29" s="1447"/>
      <c r="N29" s="1447"/>
      <c r="O29" s="1447"/>
      <c r="P29" s="1520"/>
    </row>
    <row r="30" spans="1:17" ht="13.5" customHeight="1" thickBot="1" x14ac:dyDescent="0.25">
      <c r="A30" s="2758" t="s">
        <v>1140</v>
      </c>
      <c r="B30" s="2759"/>
      <c r="C30" s="2743"/>
      <c r="D30" s="2744"/>
      <c r="I30" s="1447"/>
      <c r="J30" s="1447"/>
      <c r="K30" s="1447"/>
      <c r="L30" s="1447"/>
      <c r="M30" s="1447"/>
      <c r="N30" s="1447"/>
      <c r="O30" s="1447"/>
      <c r="P30" s="1520"/>
    </row>
    <row r="31" spans="1:17" ht="13.5" customHeight="1" thickTop="1" x14ac:dyDescent="0.2">
      <c r="A31" s="2282" t="s">
        <v>1141</v>
      </c>
      <c r="B31" s="2283"/>
      <c r="C31" s="2751" t="s">
        <v>1142</v>
      </c>
      <c r="D31" s="2752"/>
      <c r="I31" s="1447"/>
      <c r="J31" s="1447"/>
      <c r="K31" s="1447"/>
      <c r="L31" s="1447"/>
      <c r="M31" s="1447"/>
      <c r="N31" s="1447"/>
      <c r="O31" s="1447"/>
      <c r="P31" s="1520"/>
      <c r="Q31" s="1440"/>
    </row>
    <row r="32" spans="1:17" ht="13.5" customHeight="1" x14ac:dyDescent="0.2">
      <c r="A32" s="2276" t="s">
        <v>1144</v>
      </c>
      <c r="B32" s="2287" t="s">
        <v>2300</v>
      </c>
      <c r="C32" s="2276" t="s">
        <v>1144</v>
      </c>
      <c r="D32" s="2287" t="s">
        <v>2302</v>
      </c>
      <c r="I32" s="1447"/>
      <c r="J32" s="1447"/>
      <c r="K32" s="1447"/>
      <c r="L32" s="1447"/>
      <c r="M32" s="1447"/>
      <c r="N32" s="1447"/>
      <c r="O32" s="1447"/>
      <c r="P32" s="1520"/>
      <c r="Q32" s="1447"/>
    </row>
    <row r="33" spans="1:17" ht="13.5" customHeight="1" x14ac:dyDescent="0.2">
      <c r="A33" s="2276" t="s">
        <v>1136</v>
      </c>
      <c r="B33" s="2287" t="s">
        <v>2298</v>
      </c>
      <c r="C33" s="2276" t="s">
        <v>1136</v>
      </c>
      <c r="D33" s="2287" t="s">
        <v>2298</v>
      </c>
      <c r="F33" s="1437"/>
      <c r="G33" s="1439"/>
      <c r="I33" s="1447"/>
      <c r="J33" s="1447"/>
      <c r="K33" s="1447"/>
      <c r="L33" s="1447"/>
      <c r="M33" s="1447"/>
      <c r="N33" s="1447"/>
      <c r="O33" s="1447"/>
      <c r="P33" s="1520"/>
      <c r="Q33" s="1447"/>
    </row>
    <row r="34" spans="1:17" ht="13.5" customHeight="1" x14ac:dyDescent="0.2">
      <c r="A34" s="2276" t="s">
        <v>1148</v>
      </c>
      <c r="B34" s="2287"/>
      <c r="C34" s="2276" t="s">
        <v>1148</v>
      </c>
      <c r="D34" s="2287"/>
      <c r="F34" s="1437"/>
      <c r="G34" s="1439"/>
      <c r="I34" s="1447"/>
      <c r="J34" s="1447"/>
      <c r="K34" s="1447"/>
      <c r="L34" s="1447"/>
      <c r="M34" s="1447"/>
      <c r="N34" s="1447"/>
      <c r="O34" s="1447"/>
      <c r="P34" s="1520"/>
    </row>
    <row r="35" spans="1:17" ht="13.5" customHeight="1" x14ac:dyDescent="0.2">
      <c r="A35" s="2276" t="s">
        <v>1138</v>
      </c>
      <c r="B35" s="2287" t="s">
        <v>2299</v>
      </c>
      <c r="C35" s="2276" t="s">
        <v>1138</v>
      </c>
      <c r="D35" s="2287" t="s">
        <v>2299</v>
      </c>
      <c r="F35" s="1438"/>
      <c r="G35" s="1439"/>
      <c r="I35" s="1447"/>
      <c r="J35" s="1447"/>
      <c r="K35" s="1447"/>
      <c r="L35" s="1447"/>
      <c r="M35" s="1447"/>
      <c r="N35" s="1447"/>
      <c r="O35" s="1447"/>
      <c r="P35" s="1520"/>
    </row>
    <row r="36" spans="1:17" ht="13.5" customHeight="1" x14ac:dyDescent="0.2">
      <c r="A36" s="2276" t="s">
        <v>1151</v>
      </c>
      <c r="B36" s="2287"/>
      <c r="C36" s="2276" t="s">
        <v>1151</v>
      </c>
      <c r="D36" s="2287"/>
      <c r="F36" s="1438"/>
      <c r="G36" s="1439"/>
      <c r="I36" s="1447"/>
      <c r="J36" s="1447"/>
      <c r="K36" s="1447"/>
      <c r="L36" s="1447"/>
      <c r="M36" s="1447"/>
      <c r="N36" s="1447"/>
      <c r="O36" s="1447"/>
      <c r="P36" s="1520"/>
    </row>
    <row r="37" spans="1:17" ht="13.5" customHeight="1" x14ac:dyDescent="0.2">
      <c r="A37" s="2276"/>
      <c r="B37" s="2287"/>
      <c r="C37" s="2276"/>
      <c r="D37" s="2287"/>
      <c r="F37" s="1438"/>
      <c r="G37" s="1439"/>
      <c r="I37" s="1447"/>
      <c r="J37" s="1447"/>
      <c r="K37" s="1447"/>
      <c r="L37" s="1447"/>
      <c r="M37" s="1447"/>
      <c r="N37" s="1447"/>
      <c r="O37" s="1447"/>
      <c r="P37" s="1520"/>
    </row>
    <row r="38" spans="1:17" ht="13.5" customHeight="1" x14ac:dyDescent="0.2">
      <c r="A38" s="2741" t="s">
        <v>1153</v>
      </c>
      <c r="B38" s="2742"/>
      <c r="C38" s="2741" t="s">
        <v>1154</v>
      </c>
      <c r="D38" s="2742"/>
      <c r="F38" s="1438"/>
      <c r="G38" s="1439"/>
      <c r="I38" s="1447"/>
      <c r="J38" s="1447"/>
      <c r="K38" s="1447"/>
      <c r="L38" s="1447"/>
      <c r="M38" s="1447"/>
      <c r="N38" s="1447"/>
      <c r="O38" s="1447"/>
      <c r="P38" s="1520"/>
    </row>
    <row r="39" spans="1:17" ht="13.5" customHeight="1" x14ac:dyDescent="0.2">
      <c r="A39" s="2276" t="s">
        <v>1144</v>
      </c>
      <c r="B39" s="2277" t="s">
        <v>2301</v>
      </c>
      <c r="C39" s="2276" t="s">
        <v>1144</v>
      </c>
      <c r="D39" s="2277" t="s">
        <v>2303</v>
      </c>
      <c r="F39" s="1438"/>
      <c r="G39" s="1439"/>
      <c r="I39" s="1447"/>
      <c r="J39" s="1447"/>
      <c r="K39" s="1447"/>
      <c r="L39" s="1447"/>
      <c r="M39" s="1447"/>
      <c r="N39" s="1447"/>
      <c r="O39" s="1447"/>
      <c r="P39" s="1520"/>
    </row>
    <row r="40" spans="1:17" ht="13.5" customHeight="1" x14ac:dyDescent="0.2">
      <c r="A40" s="2276" t="s">
        <v>1136</v>
      </c>
      <c r="B40" s="2277" t="s">
        <v>2298</v>
      </c>
      <c r="C40" s="2276" t="s">
        <v>1136</v>
      </c>
      <c r="D40" s="2277" t="s">
        <v>2298</v>
      </c>
      <c r="F40" s="1445"/>
      <c r="G40" s="1439"/>
      <c r="I40" s="1447"/>
      <c r="J40" s="1447"/>
      <c r="K40" s="1447"/>
      <c r="L40" s="1447"/>
      <c r="M40" s="1447"/>
      <c r="N40" s="1447"/>
      <c r="O40" s="1447"/>
      <c r="P40" s="1520"/>
    </row>
    <row r="41" spans="1:17" ht="13.5" customHeight="1" x14ac:dyDescent="0.2">
      <c r="A41" s="2276" t="s">
        <v>1148</v>
      </c>
      <c r="B41" s="2277"/>
      <c r="C41" s="2276" t="s">
        <v>1148</v>
      </c>
      <c r="D41" s="2277"/>
      <c r="F41" s="1446"/>
      <c r="G41" s="1439"/>
      <c r="I41" s="1447"/>
      <c r="J41" s="1447"/>
      <c r="K41" s="1447"/>
      <c r="L41" s="1447"/>
      <c r="M41" s="1447"/>
      <c r="N41" s="1447"/>
      <c r="O41" s="1447"/>
      <c r="P41" s="1520"/>
    </row>
    <row r="42" spans="1:17" ht="13.5" customHeight="1" x14ac:dyDescent="0.2">
      <c r="A42" s="2276" t="s">
        <v>1138</v>
      </c>
      <c r="B42" s="2277" t="s">
        <v>2299</v>
      </c>
      <c r="C42" s="2276" t="s">
        <v>1138</v>
      </c>
      <c r="D42" s="2277" t="s">
        <v>2299</v>
      </c>
      <c r="F42" s="1446"/>
      <c r="G42" s="1439"/>
      <c r="I42" s="1447"/>
      <c r="J42" s="1447"/>
      <c r="K42" s="1447"/>
      <c r="L42" s="1447"/>
      <c r="M42" s="1447"/>
      <c r="N42" s="1447"/>
      <c r="O42" s="1447"/>
      <c r="P42" s="1520"/>
    </row>
    <row r="43" spans="1:17" ht="13.5" customHeight="1" x14ac:dyDescent="0.2">
      <c r="A43" s="2288" t="s">
        <v>1151</v>
      </c>
      <c r="B43" s="2729" t="s">
        <v>2887</v>
      </c>
      <c r="C43" s="2288" t="s">
        <v>1151</v>
      </c>
      <c r="D43" s="2729" t="s">
        <v>2888</v>
      </c>
      <c r="F43" s="1446"/>
      <c r="G43" s="1439"/>
      <c r="I43" s="1447"/>
      <c r="J43" s="1447"/>
      <c r="K43" s="1447"/>
      <c r="L43" s="1447"/>
      <c r="M43" s="1447"/>
      <c r="N43" s="1447"/>
      <c r="O43" s="1447"/>
      <c r="P43" s="1520"/>
    </row>
    <row r="44" spans="1:17" ht="13.5" customHeight="1" x14ac:dyDescent="0.2">
      <c r="A44" s="2280"/>
      <c r="B44" s="2286"/>
      <c r="C44" s="2280"/>
      <c r="D44" s="2286"/>
      <c r="F44" s="1446"/>
      <c r="G44" s="1439"/>
      <c r="I44" s="1447"/>
      <c r="J44" s="1447"/>
      <c r="K44" s="1447"/>
      <c r="L44" s="1447"/>
      <c r="M44" s="1447"/>
      <c r="N44" s="1447"/>
      <c r="O44" s="1447"/>
      <c r="P44" s="1520"/>
    </row>
    <row r="45" spans="1:17" ht="13.5" customHeight="1" x14ac:dyDescent="0.2">
      <c r="A45" s="2741" t="s">
        <v>1161</v>
      </c>
      <c r="B45" s="2742"/>
      <c r="C45" s="2741" t="s">
        <v>1162</v>
      </c>
      <c r="D45" s="2742"/>
      <c r="F45" s="1446"/>
      <c r="G45" s="1439"/>
      <c r="I45" s="1447"/>
      <c r="J45" s="1447"/>
      <c r="K45" s="1447"/>
      <c r="L45" s="1447"/>
      <c r="M45" s="1447"/>
      <c r="N45" s="1447"/>
      <c r="O45" s="1447"/>
      <c r="P45" s="1520"/>
    </row>
    <row r="46" spans="1:17" ht="13.5" customHeight="1" x14ac:dyDescent="0.2">
      <c r="A46" s="2276" t="s">
        <v>1144</v>
      </c>
      <c r="B46" s="2277"/>
      <c r="C46" s="2276" t="s">
        <v>1144</v>
      </c>
      <c r="D46" s="2277"/>
      <c r="F46" s="1446"/>
      <c r="G46" s="1439"/>
      <c r="I46" s="1447"/>
      <c r="J46" s="1447"/>
      <c r="K46" s="1447"/>
      <c r="L46" s="1447"/>
      <c r="M46" s="1447"/>
      <c r="N46" s="1447"/>
      <c r="O46" s="1447"/>
      <c r="P46" s="1520"/>
    </row>
    <row r="47" spans="1:17" s="1434" customFormat="1" ht="13.5" customHeight="1" x14ac:dyDescent="0.2">
      <c r="A47" s="2276" t="s">
        <v>1136</v>
      </c>
      <c r="B47" s="2277"/>
      <c r="C47" s="2276" t="s">
        <v>1136</v>
      </c>
      <c r="D47" s="2277"/>
      <c r="E47" s="1433"/>
      <c r="F47" s="1446"/>
      <c r="G47" s="1439"/>
      <c r="I47" s="1447"/>
      <c r="J47" s="1447"/>
      <c r="K47" s="1447"/>
      <c r="L47" s="1447"/>
      <c r="M47" s="1447"/>
      <c r="N47" s="1447"/>
      <c r="O47" s="1447"/>
      <c r="P47" s="1520"/>
    </row>
    <row r="48" spans="1:17" s="1434" customFormat="1" ht="13.5" customHeight="1" x14ac:dyDescent="0.2">
      <c r="A48" s="2276" t="s">
        <v>1148</v>
      </c>
      <c r="B48" s="2277"/>
      <c r="C48" s="2276" t="s">
        <v>1148</v>
      </c>
      <c r="D48" s="2277"/>
      <c r="E48" s="1433"/>
      <c r="F48" s="1446"/>
      <c r="G48" s="1439"/>
      <c r="I48" s="1447"/>
      <c r="J48" s="1447"/>
      <c r="K48" s="1447"/>
      <c r="L48" s="1447"/>
      <c r="M48" s="1447"/>
      <c r="N48" s="1447"/>
      <c r="O48" s="1447"/>
      <c r="P48" s="1520"/>
    </row>
    <row r="49" spans="1:17" s="1434" customFormat="1" ht="13.5" customHeight="1" x14ac:dyDescent="0.2">
      <c r="A49" s="2276" t="s">
        <v>1138</v>
      </c>
      <c r="B49" s="2277"/>
      <c r="C49" s="2276" t="s">
        <v>1138</v>
      </c>
      <c r="D49" s="2277"/>
      <c r="E49" s="1433"/>
      <c r="F49" s="1446"/>
      <c r="G49" s="1439"/>
      <c r="I49" s="1447"/>
      <c r="J49" s="1447"/>
      <c r="K49" s="1447"/>
      <c r="L49" s="1447"/>
      <c r="M49" s="1447"/>
      <c r="N49" s="1447"/>
      <c r="O49" s="1447"/>
      <c r="P49" s="1520"/>
    </row>
    <row r="50" spans="1:17" s="1434" customFormat="1" ht="13.5" customHeight="1" x14ac:dyDescent="0.2">
      <c r="A50" s="2278" t="s">
        <v>1151</v>
      </c>
      <c r="B50" s="2285"/>
      <c r="C50" s="2278" t="s">
        <v>1151</v>
      </c>
      <c r="D50" s="2285"/>
      <c r="E50" s="1433"/>
      <c r="F50" s="1446"/>
      <c r="G50" s="1439"/>
      <c r="I50" s="1447"/>
      <c r="J50" s="1447"/>
      <c r="K50" s="1447"/>
      <c r="L50" s="1447"/>
      <c r="M50" s="1447"/>
      <c r="N50" s="1447"/>
      <c r="O50" s="1447"/>
      <c r="P50" s="1520"/>
    </row>
    <row r="51" spans="1:17" s="1434" customFormat="1" ht="13.5" customHeight="1" x14ac:dyDescent="0.2">
      <c r="A51" s="2280"/>
      <c r="B51" s="2286"/>
      <c r="C51" s="2280"/>
      <c r="D51" s="2286"/>
      <c r="E51" s="1433"/>
      <c r="F51" s="1446"/>
      <c r="G51" s="1439"/>
      <c r="I51" s="1447"/>
      <c r="J51" s="1447"/>
      <c r="K51" s="1447"/>
      <c r="L51" s="1447"/>
      <c r="M51" s="1447"/>
      <c r="N51" s="1447"/>
      <c r="O51" s="1447"/>
      <c r="P51" s="1520"/>
    </row>
    <row r="52" spans="1:17" s="1434" customFormat="1" ht="13.5" customHeight="1" thickBot="1" x14ac:dyDescent="0.25">
      <c r="A52" s="2747" t="s">
        <v>1164</v>
      </c>
      <c r="B52" s="2748"/>
      <c r="C52" s="2753"/>
      <c r="D52" s="2754"/>
      <c r="E52" s="1433"/>
      <c r="F52" s="1446"/>
      <c r="G52" s="1439"/>
      <c r="I52" s="1447"/>
      <c r="J52" s="1447"/>
      <c r="K52" s="1447"/>
      <c r="L52" s="1447"/>
      <c r="M52" s="1447"/>
      <c r="N52" s="1447"/>
      <c r="O52" s="1447"/>
      <c r="P52" s="1520"/>
    </row>
    <row r="53" spans="1:17" s="1450" customFormat="1" ht="13.5" customHeight="1" thickTop="1" x14ac:dyDescent="0.2">
      <c r="A53" s="2282" t="s">
        <v>1165</v>
      </c>
      <c r="B53" s="2283"/>
      <c r="C53" s="2741" t="s">
        <v>1166</v>
      </c>
      <c r="D53" s="2742"/>
      <c r="E53" s="1436"/>
      <c r="F53" s="1448"/>
      <c r="G53" s="1449"/>
      <c r="I53" s="1451"/>
      <c r="J53" s="1451"/>
      <c r="K53" s="1451"/>
      <c r="L53" s="1451"/>
      <c r="M53" s="1451"/>
      <c r="N53" s="1451"/>
      <c r="O53" s="1451"/>
      <c r="P53" s="1520"/>
      <c r="Q53" s="1434"/>
    </row>
    <row r="54" spans="1:17" s="1450" customFormat="1" ht="13.5" customHeight="1" x14ac:dyDescent="0.2">
      <c r="A54" s="2276" t="s">
        <v>1144</v>
      </c>
      <c r="B54" s="2277" t="s">
        <v>2895</v>
      </c>
      <c r="C54" s="2276" t="s">
        <v>1144</v>
      </c>
      <c r="D54" s="2277" t="s">
        <v>2304</v>
      </c>
      <c r="E54" s="1436"/>
      <c r="F54" s="1448"/>
      <c r="G54" s="1449"/>
      <c r="I54" s="1451"/>
      <c r="J54" s="1451"/>
      <c r="K54" s="1451"/>
      <c r="L54" s="1451"/>
      <c r="M54" s="1451"/>
      <c r="N54" s="1451"/>
      <c r="O54" s="1451"/>
      <c r="P54" s="1520"/>
      <c r="Q54" s="1434"/>
    </row>
    <row r="55" spans="1:17" s="1434" customFormat="1" ht="13.5" customHeight="1" x14ac:dyDescent="0.2">
      <c r="A55" s="2276" t="s">
        <v>1136</v>
      </c>
      <c r="B55" s="2277" t="s">
        <v>2298</v>
      </c>
      <c r="C55" s="2276" t="s">
        <v>1136</v>
      </c>
      <c r="D55" s="2277" t="s">
        <v>2305</v>
      </c>
      <c r="E55" s="1433"/>
      <c r="F55" s="1446"/>
      <c r="G55" s="1439"/>
      <c r="I55" s="1447"/>
      <c r="J55" s="1447"/>
      <c r="K55" s="1447"/>
      <c r="L55" s="1447"/>
      <c r="M55" s="1447"/>
      <c r="N55" s="1447"/>
      <c r="O55" s="1447"/>
      <c r="P55" s="1520"/>
    </row>
    <row r="56" spans="1:17" s="1434" customFormat="1" ht="13.5" customHeight="1" x14ac:dyDescent="0.2">
      <c r="A56" s="2276" t="s">
        <v>1148</v>
      </c>
      <c r="B56" s="2277"/>
      <c r="C56" s="2276" t="s">
        <v>1148</v>
      </c>
      <c r="D56" s="2277"/>
      <c r="E56" s="1433"/>
      <c r="F56" s="1446"/>
      <c r="G56" s="1439"/>
      <c r="I56" s="1447"/>
      <c r="J56" s="1447"/>
      <c r="K56" s="1447"/>
      <c r="L56" s="1447"/>
      <c r="M56" s="1447"/>
      <c r="N56" s="1447"/>
      <c r="O56" s="1447"/>
      <c r="P56" s="1520"/>
    </row>
    <row r="57" spans="1:17" s="1434" customFormat="1" ht="13.5" customHeight="1" x14ac:dyDescent="0.2">
      <c r="A57" s="2276" t="s">
        <v>1138</v>
      </c>
      <c r="B57" s="2277" t="s">
        <v>2299</v>
      </c>
      <c r="C57" s="2276" t="s">
        <v>1138</v>
      </c>
      <c r="D57" s="2277" t="s">
        <v>2299</v>
      </c>
      <c r="E57" s="1433"/>
      <c r="F57" s="1446"/>
      <c r="G57" s="1439"/>
      <c r="I57" s="1447"/>
      <c r="J57" s="1447"/>
      <c r="K57" s="1447"/>
      <c r="L57" s="1447"/>
      <c r="M57" s="1447"/>
      <c r="N57" s="1447"/>
      <c r="O57" s="1447"/>
      <c r="P57" s="1520"/>
    </row>
    <row r="58" spans="1:17" ht="13.5" customHeight="1" x14ac:dyDescent="0.2">
      <c r="A58" s="2278" t="s">
        <v>1151</v>
      </c>
      <c r="B58" s="2730" t="s">
        <v>2889</v>
      </c>
      <c r="C58" s="2278" t="s">
        <v>1151</v>
      </c>
      <c r="D58" s="2730" t="s">
        <v>2890</v>
      </c>
      <c r="F58" s="1446"/>
      <c r="G58" s="1439"/>
      <c r="I58" s="1447"/>
      <c r="J58" s="1447"/>
      <c r="K58" s="1447"/>
      <c r="L58" s="1447"/>
      <c r="M58" s="1447"/>
      <c r="N58" s="1447"/>
      <c r="O58" s="1447"/>
      <c r="P58" s="1520"/>
    </row>
    <row r="59" spans="1:17" ht="13.5" customHeight="1" x14ac:dyDescent="0.2">
      <c r="A59" s="2280"/>
      <c r="B59" s="2286"/>
      <c r="C59" s="2280"/>
      <c r="D59" s="2286"/>
      <c r="F59" s="1446"/>
      <c r="G59" s="1439"/>
      <c r="I59" s="1447"/>
      <c r="J59" s="1447"/>
      <c r="K59" s="1447"/>
      <c r="L59" s="1447"/>
      <c r="M59" s="1447"/>
      <c r="N59" s="1447"/>
      <c r="O59" s="1447"/>
      <c r="P59" s="1520"/>
    </row>
    <row r="60" spans="1:17" ht="13.5" customHeight="1" x14ac:dyDescent="0.2">
      <c r="A60" s="2290" t="s">
        <v>1167</v>
      </c>
      <c r="B60" s="2284"/>
      <c r="C60" s="2741" t="s">
        <v>1168</v>
      </c>
      <c r="D60" s="2742"/>
      <c r="F60" s="1446"/>
      <c r="G60" s="1439"/>
      <c r="I60" s="1447"/>
      <c r="J60" s="1447"/>
      <c r="K60" s="1447"/>
      <c r="L60" s="1447"/>
      <c r="M60" s="1447"/>
      <c r="N60" s="1447"/>
      <c r="O60" s="1447"/>
      <c r="P60" s="1520"/>
    </row>
    <row r="61" spans="1:17" s="1452" customFormat="1" ht="13.5" customHeight="1" x14ac:dyDescent="0.2">
      <c r="A61" s="2276" t="s">
        <v>1144</v>
      </c>
      <c r="B61" s="2277" t="s">
        <v>2282</v>
      </c>
      <c r="C61" s="2276" t="s">
        <v>1144</v>
      </c>
      <c r="D61" s="2277" t="s">
        <v>2306</v>
      </c>
      <c r="E61" s="1436"/>
      <c r="F61" s="1448"/>
      <c r="G61" s="1449"/>
      <c r="H61" s="1450"/>
      <c r="I61" s="1451"/>
      <c r="J61" s="1451"/>
      <c r="K61" s="1451"/>
      <c r="L61" s="1451"/>
      <c r="M61" s="1451"/>
      <c r="N61" s="1451"/>
      <c r="O61" s="1451"/>
      <c r="P61" s="1520"/>
      <c r="Q61" s="1434"/>
    </row>
    <row r="62" spans="1:17" ht="13.5" customHeight="1" x14ac:dyDescent="0.2">
      <c r="A62" s="2276" t="s">
        <v>1136</v>
      </c>
      <c r="B62" s="2277" t="s">
        <v>2283</v>
      </c>
      <c r="C62" s="2276" t="s">
        <v>1136</v>
      </c>
      <c r="D62" s="2277" t="s">
        <v>2298</v>
      </c>
      <c r="F62" s="1446"/>
      <c r="G62" s="1439"/>
      <c r="I62" s="1447"/>
      <c r="J62" s="1447"/>
      <c r="K62" s="1447"/>
      <c r="L62" s="1447"/>
      <c r="M62" s="1447"/>
      <c r="N62" s="1447"/>
      <c r="O62" s="1447"/>
      <c r="P62" s="1520"/>
    </row>
    <row r="63" spans="1:17" ht="13.5" customHeight="1" x14ac:dyDescent="0.2">
      <c r="A63" s="2276" t="s">
        <v>1148</v>
      </c>
      <c r="B63" s="2277"/>
      <c r="C63" s="2276" t="s">
        <v>1148</v>
      </c>
      <c r="D63" s="2277"/>
      <c r="F63" s="1446"/>
      <c r="G63" s="1439"/>
      <c r="I63" s="1447"/>
      <c r="J63" s="1447"/>
      <c r="K63" s="1447"/>
      <c r="L63" s="1447"/>
      <c r="M63" s="1447"/>
      <c r="N63" s="1447"/>
      <c r="O63" s="1447"/>
      <c r="P63" s="1520"/>
    </row>
    <row r="64" spans="1:17" ht="13.5" customHeight="1" x14ac:dyDescent="0.2">
      <c r="A64" s="2276" t="s">
        <v>1138</v>
      </c>
      <c r="B64" s="2277" t="s">
        <v>2284</v>
      </c>
      <c r="C64" s="2276" t="s">
        <v>1138</v>
      </c>
      <c r="D64" s="2277" t="s">
        <v>2299</v>
      </c>
      <c r="F64" s="1446"/>
      <c r="G64" s="1439"/>
      <c r="I64" s="1447"/>
      <c r="J64" s="1447"/>
      <c r="K64" s="1447"/>
      <c r="L64" s="1447"/>
      <c r="M64" s="1447"/>
      <c r="N64" s="1447"/>
      <c r="O64" s="1447"/>
      <c r="P64" s="1520"/>
    </row>
    <row r="65" spans="1:17" ht="13.5" customHeight="1" x14ac:dyDescent="0.2">
      <c r="A65" s="2278" t="s">
        <v>1151</v>
      </c>
      <c r="B65" s="2289" t="s">
        <v>2285</v>
      </c>
      <c r="C65" s="2278" t="s">
        <v>1151</v>
      </c>
      <c r="D65" s="2730" t="s">
        <v>2891</v>
      </c>
      <c r="F65" s="1446"/>
      <c r="G65" s="1439"/>
      <c r="I65" s="1447"/>
      <c r="J65" s="1447"/>
      <c r="K65" s="1447"/>
      <c r="L65" s="1447"/>
      <c r="M65" s="1447"/>
      <c r="N65" s="1447"/>
      <c r="O65" s="1447"/>
      <c r="P65" s="1520"/>
    </row>
    <row r="66" spans="1:17" ht="13.5" customHeight="1" x14ac:dyDescent="0.2">
      <c r="A66" s="2280"/>
      <c r="B66" s="2286"/>
      <c r="C66" s="2280"/>
      <c r="D66" s="2286"/>
      <c r="F66" s="1446"/>
      <c r="G66" s="1439"/>
      <c r="I66" s="1447"/>
      <c r="J66" s="1447"/>
      <c r="K66" s="1447"/>
      <c r="L66" s="1447"/>
      <c r="M66" s="1447"/>
      <c r="N66" s="1447"/>
      <c r="O66" s="1447"/>
      <c r="P66" s="1520"/>
    </row>
    <row r="67" spans="1:17" ht="13.5" customHeight="1" x14ac:dyDescent="0.2">
      <c r="A67" s="2741" t="s">
        <v>1169</v>
      </c>
      <c r="B67" s="2742"/>
      <c r="C67" s="2749"/>
      <c r="D67" s="2750"/>
      <c r="F67" s="1446"/>
      <c r="G67" s="1439"/>
      <c r="I67" s="1447"/>
      <c r="J67" s="1447"/>
      <c r="K67" s="1447"/>
      <c r="L67" s="1447"/>
      <c r="M67" s="1447"/>
      <c r="N67" s="1447"/>
      <c r="O67" s="1447"/>
      <c r="P67" s="1520"/>
    </row>
    <row r="68" spans="1:17" s="1452" customFormat="1" ht="13.5" customHeight="1" x14ac:dyDescent="0.2">
      <c r="A68" s="2276" t="s">
        <v>1144</v>
      </c>
      <c r="B68" s="2277" t="s">
        <v>2307</v>
      </c>
      <c r="C68" s="2291"/>
      <c r="D68" s="2292"/>
      <c r="E68" s="1436"/>
      <c r="F68" s="1448"/>
      <c r="G68" s="1449"/>
      <c r="H68" s="1450"/>
      <c r="I68" s="1451"/>
      <c r="J68" s="1451"/>
      <c r="K68" s="1451"/>
      <c r="L68" s="1451"/>
      <c r="M68" s="1451"/>
      <c r="N68" s="1451"/>
      <c r="O68" s="1451"/>
      <c r="P68" s="1520"/>
      <c r="Q68" s="1434"/>
    </row>
    <row r="69" spans="1:17" ht="13.5" customHeight="1" x14ac:dyDescent="0.2">
      <c r="A69" s="2276" t="s">
        <v>1136</v>
      </c>
      <c r="B69" s="2277" t="s">
        <v>2298</v>
      </c>
      <c r="C69" s="2291"/>
      <c r="D69" s="2292"/>
      <c r="F69" s="1446"/>
      <c r="G69" s="1439"/>
      <c r="I69" s="1447"/>
      <c r="J69" s="1447"/>
      <c r="K69" s="1447"/>
      <c r="L69" s="1447"/>
      <c r="M69" s="1447"/>
      <c r="N69" s="1447"/>
      <c r="O69" s="1447"/>
      <c r="P69" s="1520"/>
    </row>
    <row r="70" spans="1:17" ht="13.5" customHeight="1" x14ac:dyDescent="0.2">
      <c r="A70" s="2276" t="s">
        <v>1148</v>
      </c>
      <c r="B70" s="2277"/>
      <c r="C70" s="2291"/>
      <c r="D70" s="2292"/>
      <c r="F70" s="1446"/>
      <c r="G70" s="1439"/>
      <c r="I70" s="1447"/>
      <c r="J70" s="1447"/>
      <c r="K70" s="1447"/>
      <c r="L70" s="1447"/>
      <c r="M70" s="1447"/>
      <c r="N70" s="1447"/>
      <c r="O70" s="1447"/>
      <c r="P70" s="1520"/>
    </row>
    <row r="71" spans="1:17" ht="13.5" customHeight="1" x14ac:dyDescent="0.2">
      <c r="A71" s="2276" t="s">
        <v>1138</v>
      </c>
      <c r="B71" s="2277" t="s">
        <v>2299</v>
      </c>
      <c r="C71" s="2291"/>
      <c r="D71" s="2292"/>
      <c r="F71" s="1446"/>
      <c r="G71" s="1439"/>
      <c r="I71" s="1447"/>
      <c r="J71" s="1447"/>
      <c r="K71" s="1447"/>
      <c r="L71" s="1447"/>
      <c r="M71" s="1447"/>
      <c r="N71" s="1447"/>
      <c r="O71" s="1447"/>
      <c r="P71" s="1520"/>
    </row>
    <row r="72" spans="1:17" ht="13.5" customHeight="1" x14ac:dyDescent="0.2">
      <c r="A72" s="2276" t="s">
        <v>1151</v>
      </c>
      <c r="B72" s="2277" t="s">
        <v>2892</v>
      </c>
      <c r="C72" s="2291"/>
      <c r="D72" s="2292"/>
      <c r="F72" s="1446"/>
      <c r="G72" s="1439"/>
      <c r="I72" s="1447"/>
      <c r="J72" s="1447"/>
      <c r="K72" s="1447"/>
      <c r="L72" s="1447"/>
      <c r="M72" s="1447"/>
      <c r="N72" s="1447"/>
      <c r="O72" s="1447"/>
      <c r="P72" s="1520"/>
    </row>
    <row r="73" spans="1:17" ht="13.5" customHeight="1" x14ac:dyDescent="0.2">
      <c r="A73" s="2741" t="s">
        <v>1169</v>
      </c>
      <c r="B73" s="2742"/>
      <c r="C73" s="2745"/>
      <c r="D73" s="2746"/>
      <c r="F73" s="1446"/>
      <c r="G73" s="1439"/>
      <c r="I73" s="1447"/>
      <c r="J73" s="1447"/>
      <c r="K73" s="1447"/>
      <c r="L73" s="1447"/>
      <c r="M73" s="1447"/>
      <c r="N73" s="1447"/>
      <c r="O73" s="1447"/>
      <c r="P73" s="1520"/>
    </row>
    <row r="74" spans="1:17" ht="13.5" customHeight="1" x14ac:dyDescent="0.2">
      <c r="A74" s="2276" t="s">
        <v>1144</v>
      </c>
      <c r="B74" s="2277" t="s">
        <v>2308</v>
      </c>
      <c r="C74" s="2291"/>
      <c r="D74" s="2292"/>
      <c r="F74" s="1446"/>
      <c r="G74" s="1439"/>
      <c r="I74" s="1447"/>
      <c r="J74" s="1447"/>
      <c r="K74" s="1447"/>
      <c r="L74" s="1447"/>
      <c r="M74" s="1447"/>
      <c r="N74" s="1447"/>
      <c r="O74" s="1447"/>
      <c r="P74" s="1520"/>
    </row>
    <row r="75" spans="1:17" ht="13.5" customHeight="1" x14ac:dyDescent="0.2">
      <c r="A75" s="2276" t="s">
        <v>1136</v>
      </c>
      <c r="B75" s="2277" t="s">
        <v>2298</v>
      </c>
      <c r="C75" s="2291"/>
      <c r="D75" s="2292"/>
      <c r="F75" s="1446"/>
      <c r="G75" s="1439"/>
      <c r="I75" s="1447"/>
      <c r="J75" s="1447"/>
      <c r="K75" s="1447"/>
      <c r="L75" s="1447"/>
      <c r="M75" s="1447"/>
      <c r="N75" s="1447"/>
      <c r="O75" s="1447"/>
      <c r="P75" s="1520"/>
    </row>
    <row r="76" spans="1:17" s="1434" customFormat="1" ht="13.5" customHeight="1" x14ac:dyDescent="0.2">
      <c r="A76" s="2276" t="s">
        <v>1148</v>
      </c>
      <c r="B76" s="2277"/>
      <c r="C76" s="2291"/>
      <c r="D76" s="2292"/>
      <c r="E76" s="1433"/>
      <c r="F76" s="1446"/>
      <c r="G76" s="1439"/>
      <c r="I76" s="1447"/>
      <c r="J76" s="1447"/>
      <c r="K76" s="1447"/>
      <c r="L76" s="1447"/>
      <c r="M76" s="1447"/>
      <c r="N76" s="1447"/>
      <c r="O76" s="1447"/>
      <c r="P76" s="1520"/>
    </row>
    <row r="77" spans="1:17" s="1434" customFormat="1" ht="13.5" customHeight="1" x14ac:dyDescent="0.2">
      <c r="A77" s="2276" t="s">
        <v>1138</v>
      </c>
      <c r="B77" s="2277" t="s">
        <v>2299</v>
      </c>
      <c r="C77" s="2291"/>
      <c r="D77" s="2292"/>
      <c r="E77" s="1433"/>
      <c r="F77" s="1446"/>
      <c r="G77" s="1439"/>
      <c r="I77" s="1447"/>
      <c r="J77" s="1447"/>
      <c r="K77" s="1447"/>
      <c r="L77" s="1447"/>
      <c r="M77" s="1447"/>
      <c r="N77" s="1447"/>
      <c r="O77" s="1447"/>
      <c r="P77" s="1520"/>
    </row>
    <row r="78" spans="1:17" s="1434" customFormat="1" ht="13.5" customHeight="1" x14ac:dyDescent="0.2">
      <c r="A78" s="2276" t="s">
        <v>1151</v>
      </c>
      <c r="B78" s="2277" t="s">
        <v>2893</v>
      </c>
      <c r="C78" s="2291"/>
      <c r="D78" s="2292"/>
      <c r="E78" s="1433"/>
      <c r="F78" s="1446"/>
      <c r="G78" s="1439"/>
      <c r="I78" s="1447"/>
      <c r="J78" s="1447"/>
      <c r="K78" s="1447"/>
      <c r="L78" s="1447"/>
      <c r="M78" s="1447"/>
      <c r="N78" s="1447"/>
      <c r="O78" s="1447"/>
      <c r="P78" s="1520"/>
    </row>
    <row r="79" spans="1:17" s="1434" customFormat="1" ht="13.5" customHeight="1" x14ac:dyDescent="0.2">
      <c r="A79" s="2741" t="s">
        <v>1169</v>
      </c>
      <c r="B79" s="2742"/>
      <c r="C79" s="2745"/>
      <c r="D79" s="2746"/>
      <c r="E79" s="1433"/>
      <c r="F79" s="1446"/>
      <c r="G79" s="1439"/>
      <c r="I79" s="1447"/>
      <c r="J79" s="1447"/>
      <c r="K79" s="1447"/>
      <c r="L79" s="1447"/>
      <c r="M79" s="1447"/>
      <c r="N79" s="1447"/>
      <c r="O79" s="1447"/>
      <c r="P79" s="1520"/>
    </row>
    <row r="80" spans="1:17" s="1434" customFormat="1" ht="13.5" customHeight="1" x14ac:dyDescent="0.2">
      <c r="A80" s="2276" t="s">
        <v>1144</v>
      </c>
      <c r="B80" s="2277" t="s">
        <v>2309</v>
      </c>
      <c r="C80" s="2291"/>
      <c r="D80" s="2292"/>
      <c r="E80" s="1433"/>
      <c r="F80" s="1446"/>
      <c r="G80" s="1439"/>
      <c r="I80" s="1447"/>
      <c r="J80" s="1447"/>
      <c r="K80" s="1447"/>
      <c r="L80" s="1447"/>
      <c r="M80" s="1447"/>
      <c r="N80" s="1447"/>
      <c r="O80" s="1447"/>
      <c r="P80" s="1520"/>
    </row>
    <row r="81" spans="1:25" s="1434" customFormat="1" ht="13.5" customHeight="1" x14ac:dyDescent="0.2">
      <c r="A81" s="2276" t="s">
        <v>1136</v>
      </c>
      <c r="B81" s="2277" t="s">
        <v>2298</v>
      </c>
      <c r="C81" s="2291"/>
      <c r="D81" s="2292"/>
      <c r="E81" s="1433"/>
      <c r="F81" s="1446"/>
      <c r="G81" s="1439"/>
      <c r="I81" s="1447"/>
      <c r="J81" s="1447"/>
      <c r="K81" s="1447"/>
      <c r="L81" s="1447"/>
      <c r="M81" s="1447"/>
      <c r="N81" s="1447"/>
      <c r="O81" s="1447"/>
      <c r="P81" s="1520"/>
    </row>
    <row r="82" spans="1:25" s="1434" customFormat="1" ht="13.5" customHeight="1" x14ac:dyDescent="0.2">
      <c r="A82" s="2276" t="s">
        <v>1148</v>
      </c>
      <c r="B82" s="2277"/>
      <c r="C82" s="2291"/>
      <c r="D82" s="2292"/>
      <c r="E82" s="1433"/>
      <c r="F82" s="1446"/>
      <c r="G82" s="1439"/>
      <c r="I82" s="1447"/>
      <c r="J82" s="1447"/>
      <c r="K82" s="1447"/>
      <c r="L82" s="1447"/>
      <c r="M82" s="1447"/>
      <c r="N82" s="1447"/>
      <c r="O82" s="1447"/>
      <c r="P82" s="1520"/>
    </row>
    <row r="83" spans="1:25" s="1434" customFormat="1" ht="13.5" customHeight="1" x14ac:dyDescent="0.2">
      <c r="A83" s="2276" t="s">
        <v>1138</v>
      </c>
      <c r="B83" s="2277" t="s">
        <v>2299</v>
      </c>
      <c r="C83" s="2291"/>
      <c r="D83" s="2292"/>
      <c r="E83" s="1433"/>
      <c r="F83" s="1446"/>
      <c r="G83" s="1439"/>
      <c r="I83" s="1447"/>
      <c r="J83" s="1447"/>
      <c r="K83" s="1447"/>
      <c r="L83" s="1447"/>
      <c r="M83" s="1447"/>
      <c r="N83" s="1447"/>
      <c r="O83" s="1447"/>
      <c r="P83" s="1520"/>
    </row>
    <row r="84" spans="1:25" s="1434" customFormat="1" ht="13.5" customHeight="1" x14ac:dyDescent="0.2">
      <c r="A84" s="2276" t="s">
        <v>1151</v>
      </c>
      <c r="B84" s="2277" t="s">
        <v>2894</v>
      </c>
      <c r="C84" s="2280"/>
      <c r="D84" s="2286"/>
      <c r="E84" s="1433"/>
      <c r="F84" s="1446"/>
      <c r="G84" s="1439"/>
      <c r="I84" s="1447"/>
      <c r="J84" s="1447"/>
      <c r="K84" s="1447"/>
      <c r="L84" s="1447"/>
      <c r="M84" s="1447"/>
      <c r="N84" s="1447"/>
      <c r="O84" s="1447"/>
      <c r="P84" s="1520"/>
    </row>
    <row r="85" spans="1:25" s="1434" customFormat="1" ht="12.75" customHeight="1" x14ac:dyDescent="0.2">
      <c r="A85" s="1118"/>
      <c r="B85" s="1118"/>
      <c r="C85" s="2243"/>
      <c r="D85" s="2243"/>
      <c r="E85" s="1433"/>
      <c r="F85" s="1446"/>
      <c r="G85" s="1439"/>
      <c r="I85" s="1447"/>
      <c r="J85" s="1447"/>
      <c r="K85" s="1447"/>
      <c r="L85" s="1447"/>
      <c r="M85" s="1447"/>
      <c r="N85" s="1447"/>
      <c r="O85" s="1447"/>
      <c r="P85" s="1520"/>
    </row>
    <row r="86" spans="1:25" s="1434" customFormat="1" ht="12.75" customHeight="1" x14ac:dyDescent="0.2">
      <c r="A86" s="1118"/>
      <c r="B86" s="1118"/>
      <c r="C86" s="1118"/>
      <c r="D86" s="1118"/>
      <c r="E86" s="1433"/>
      <c r="F86" s="1446"/>
      <c r="G86" s="1439"/>
      <c r="I86" s="1447"/>
      <c r="J86" s="1447"/>
      <c r="K86" s="1447"/>
      <c r="L86" s="1447"/>
      <c r="M86" s="1447"/>
      <c r="N86" s="1447"/>
      <c r="O86" s="1447"/>
      <c r="P86" s="1520"/>
    </row>
    <row r="87" spans="1:25" s="1434" customFormat="1" ht="12.75" customHeight="1" x14ac:dyDescent="0.25">
      <c r="A87" s="2255"/>
      <c r="B87" s="1411"/>
      <c r="C87" s="1411"/>
      <c r="D87" s="1411"/>
      <c r="E87" s="1433"/>
      <c r="F87" s="1446"/>
      <c r="G87" s="1439"/>
      <c r="I87" s="1447"/>
      <c r="J87" s="1447"/>
      <c r="K87" s="1447"/>
      <c r="L87" s="1447"/>
      <c r="M87" s="1447"/>
      <c r="N87" s="1447"/>
      <c r="O87" s="1447"/>
      <c r="P87" s="1520"/>
    </row>
    <row r="88" spans="1:25" s="1434" customFormat="1" ht="12.75" customHeight="1" x14ac:dyDescent="0.2">
      <c r="A88" s="1118"/>
      <c r="B88" s="1118"/>
      <c r="C88" s="1118"/>
      <c r="D88" s="1118"/>
      <c r="E88" s="1433"/>
      <c r="F88" s="1446"/>
      <c r="G88" s="1439"/>
      <c r="I88" s="1447"/>
      <c r="J88" s="1447"/>
      <c r="K88" s="1447"/>
      <c r="L88" s="1447"/>
      <c r="M88" s="1447"/>
      <c r="N88" s="1447"/>
      <c r="O88" s="1447"/>
      <c r="P88" s="1520"/>
    </row>
    <row r="89" spans="1:25" s="1453" customFormat="1" ht="12.75" customHeight="1" x14ac:dyDescent="0.2">
      <c r="A89" s="2243"/>
      <c r="B89" s="2243"/>
      <c r="C89" s="2243"/>
      <c r="D89" s="2243"/>
      <c r="E89" s="1454"/>
      <c r="F89" s="1446"/>
      <c r="G89" s="1439"/>
      <c r="I89" s="1447"/>
      <c r="J89" s="1447"/>
      <c r="K89" s="1447"/>
      <c r="L89" s="1447"/>
      <c r="M89" s="1447"/>
      <c r="N89" s="1447"/>
      <c r="O89" s="1447"/>
      <c r="P89" s="1520"/>
      <c r="Q89" s="1434"/>
    </row>
    <row r="90" spans="1:25" s="1447" customFormat="1" ht="12.75" customHeight="1" x14ac:dyDescent="0.2">
      <c r="A90" s="2243"/>
      <c r="B90" s="2243"/>
      <c r="C90" s="2243"/>
      <c r="D90" s="2243"/>
      <c r="E90" s="1455"/>
      <c r="F90" s="1446"/>
      <c r="G90" s="1439"/>
      <c r="P90" s="1520"/>
      <c r="Q90" s="1434"/>
    </row>
    <row r="91" spans="1:25" s="1447" customFormat="1" ht="12.75" customHeight="1" x14ac:dyDescent="0.2">
      <c r="A91" s="2243"/>
      <c r="B91" s="2243"/>
      <c r="C91" s="2243"/>
      <c r="D91" s="2243"/>
      <c r="E91" s="1455"/>
      <c r="F91" s="1446"/>
      <c r="G91" s="1439"/>
      <c r="P91" s="1520"/>
      <c r="Q91" s="1434"/>
    </row>
    <row r="92" spans="1:25" s="1434" customFormat="1" ht="12.75" customHeight="1" x14ac:dyDescent="0.2">
      <c r="A92" s="2293"/>
      <c r="B92" s="2243"/>
      <c r="C92" s="2243"/>
      <c r="D92" s="2243"/>
      <c r="E92" s="1433"/>
      <c r="I92" s="1447"/>
      <c r="J92" s="1447"/>
      <c r="K92" s="1447"/>
      <c r="L92" s="1447"/>
      <c r="M92" s="1447"/>
      <c r="N92" s="1447"/>
      <c r="O92" s="1447"/>
      <c r="P92" s="1520"/>
    </row>
    <row r="93" spans="1:25" s="1434" customFormat="1" ht="12.75" customHeight="1" x14ac:dyDescent="0.2">
      <c r="A93" s="2294"/>
      <c r="B93" s="2243"/>
      <c r="C93" s="2243"/>
      <c r="D93" s="2243"/>
      <c r="E93" s="1433"/>
      <c r="I93" s="1447"/>
      <c r="J93" s="1447"/>
      <c r="K93" s="1447"/>
      <c r="L93" s="1447"/>
      <c r="M93" s="1447"/>
      <c r="N93" s="1447"/>
      <c r="O93" s="1447"/>
      <c r="P93" s="1520"/>
    </row>
    <row r="94" spans="1:25" s="1434" customFormat="1" ht="12.75" customHeight="1" x14ac:dyDescent="0.2">
      <c r="A94" s="2294"/>
      <c r="B94" s="2243"/>
      <c r="C94" s="2243"/>
      <c r="D94" s="2243"/>
      <c r="E94" s="1433"/>
      <c r="I94" s="1447"/>
      <c r="J94" s="1447"/>
      <c r="K94" s="1447"/>
      <c r="L94" s="1447"/>
      <c r="M94" s="1447"/>
      <c r="N94" s="1447"/>
      <c r="O94" s="1447"/>
      <c r="P94" s="1520"/>
    </row>
    <row r="95" spans="1:25" s="1434" customFormat="1" ht="12.75" customHeight="1" x14ac:dyDescent="0.2">
      <c r="A95" s="2294"/>
      <c r="B95" s="2243"/>
      <c r="C95" s="2243"/>
      <c r="D95" s="2243"/>
      <c r="E95" s="1433"/>
      <c r="I95" s="1447"/>
      <c r="J95" s="1447"/>
      <c r="K95" s="1447"/>
      <c r="L95" s="1447"/>
      <c r="M95" s="1447"/>
      <c r="N95" s="1447"/>
      <c r="O95" s="1447"/>
      <c r="P95" s="1520"/>
    </row>
    <row r="96" spans="1:25" ht="12.75" customHeight="1" x14ac:dyDescent="0.2">
      <c r="A96" s="2294"/>
      <c r="E96" s="1456"/>
      <c r="I96" s="1447"/>
      <c r="J96" s="1447"/>
      <c r="K96" s="1447"/>
      <c r="L96" s="1447"/>
      <c r="M96" s="1447"/>
      <c r="N96" s="1447"/>
      <c r="O96" s="1447"/>
      <c r="P96" s="1520"/>
      <c r="R96" s="1457"/>
      <c r="S96" s="1457"/>
      <c r="T96" s="1457"/>
      <c r="U96" s="1457"/>
      <c r="V96" s="1457"/>
      <c r="W96" s="1457"/>
      <c r="X96" s="1457"/>
      <c r="Y96" s="1457"/>
    </row>
    <row r="97" spans="1:25" ht="12.75" customHeight="1" x14ac:dyDescent="0.2">
      <c r="A97" s="2295"/>
      <c r="B97" s="2296"/>
      <c r="C97" s="2296"/>
      <c r="D97" s="2296"/>
      <c r="E97" s="1456"/>
      <c r="I97" s="1447"/>
      <c r="J97" s="1447"/>
      <c r="K97" s="1447"/>
      <c r="L97" s="1447"/>
      <c r="M97" s="1447"/>
      <c r="N97" s="1447"/>
      <c r="O97" s="1447"/>
      <c r="P97" s="1520"/>
      <c r="R97" s="1457"/>
      <c r="S97" s="1457"/>
      <c r="T97" s="1457"/>
      <c r="U97" s="1457"/>
      <c r="V97" s="1457"/>
      <c r="W97" s="1457"/>
      <c r="X97" s="1457"/>
      <c r="Y97" s="1457"/>
    </row>
    <row r="98" spans="1:25" ht="12.75" customHeight="1" x14ac:dyDescent="0.2">
      <c r="A98" s="2295"/>
      <c r="B98" s="2296"/>
      <c r="C98" s="2296"/>
      <c r="D98" s="2296"/>
      <c r="E98" s="1456"/>
      <c r="I98" s="1447"/>
      <c r="J98" s="1447"/>
      <c r="K98" s="1447"/>
      <c r="L98" s="1447"/>
      <c r="M98" s="1447"/>
      <c r="N98" s="1447"/>
      <c r="O98" s="1447"/>
      <c r="P98" s="1520"/>
      <c r="R98" s="1457"/>
      <c r="S98" s="1457"/>
      <c r="T98" s="1457"/>
      <c r="U98" s="1457"/>
      <c r="V98" s="1457"/>
      <c r="W98" s="1457"/>
      <c r="X98" s="1457"/>
      <c r="Y98" s="1457"/>
    </row>
    <row r="99" spans="1:25" ht="12.75" customHeight="1" x14ac:dyDescent="0.2">
      <c r="A99" s="2295"/>
      <c r="B99" s="2296"/>
      <c r="C99" s="2296"/>
      <c r="D99" s="2296"/>
      <c r="E99" s="1456"/>
      <c r="I99" s="1447"/>
      <c r="J99" s="1447"/>
      <c r="K99" s="1447"/>
      <c r="L99" s="1447"/>
      <c r="M99" s="1447"/>
      <c r="N99" s="1447"/>
      <c r="O99" s="1447"/>
      <c r="P99" s="1520"/>
      <c r="R99" s="1457"/>
      <c r="S99" s="1457"/>
      <c r="T99" s="1457"/>
      <c r="U99" s="1457"/>
      <c r="V99" s="1457"/>
      <c r="W99" s="1457"/>
      <c r="X99" s="1457"/>
      <c r="Y99" s="1457"/>
    </row>
    <row r="100" spans="1:25" ht="12.75" customHeight="1" x14ac:dyDescent="0.2">
      <c r="A100" s="2295"/>
      <c r="B100" s="2296"/>
      <c r="C100" s="2296"/>
      <c r="D100" s="2296"/>
      <c r="E100" s="1456"/>
      <c r="I100" s="1447"/>
      <c r="J100" s="1447"/>
      <c r="K100" s="1447"/>
      <c r="L100" s="1447"/>
      <c r="M100" s="1447"/>
      <c r="N100" s="1447"/>
      <c r="O100" s="1447"/>
      <c r="P100" s="1520"/>
      <c r="R100" s="1457"/>
      <c r="S100" s="1457"/>
      <c r="T100" s="1457"/>
      <c r="U100" s="1457"/>
      <c r="V100" s="1457"/>
      <c r="W100" s="1457"/>
      <c r="X100" s="1457"/>
      <c r="Y100" s="1457"/>
    </row>
    <row r="101" spans="1:25" ht="12.75" customHeight="1" x14ac:dyDescent="0.2">
      <c r="A101" s="2295"/>
      <c r="B101" s="2296"/>
      <c r="C101" s="2296"/>
      <c r="D101" s="2296"/>
      <c r="E101" s="1456"/>
      <c r="I101" s="1447"/>
      <c r="J101" s="1447"/>
      <c r="K101" s="1447"/>
      <c r="L101" s="1447"/>
      <c r="M101" s="1447"/>
      <c r="N101" s="1447"/>
      <c r="O101" s="1447"/>
      <c r="P101" s="1520"/>
      <c r="R101" s="1457"/>
      <c r="S101" s="1457"/>
      <c r="T101" s="1457"/>
      <c r="U101" s="1457"/>
      <c r="V101" s="1457"/>
      <c r="W101" s="1457"/>
      <c r="X101" s="1457"/>
      <c r="Y101" s="1457"/>
    </row>
    <row r="102" spans="1:25" ht="12.75" customHeight="1" x14ac:dyDescent="0.2">
      <c r="A102" s="2295"/>
      <c r="B102" s="2296"/>
      <c r="C102" s="2296"/>
      <c r="D102" s="2296"/>
      <c r="E102" s="1456"/>
      <c r="I102" s="1447"/>
      <c r="J102" s="1447"/>
      <c r="K102" s="1447"/>
      <c r="L102" s="1447"/>
      <c r="M102" s="1447"/>
      <c r="N102" s="1447"/>
      <c r="O102" s="1447"/>
      <c r="P102" s="1520"/>
      <c r="R102" s="1457"/>
      <c r="S102" s="1457"/>
      <c r="T102" s="1457"/>
      <c r="U102" s="1457"/>
      <c r="V102" s="1457"/>
      <c r="W102" s="1457"/>
      <c r="X102" s="1457"/>
      <c r="Y102" s="1457"/>
    </row>
    <row r="103" spans="1:25" ht="12.75" customHeight="1" x14ac:dyDescent="0.2">
      <c r="A103" s="2295"/>
      <c r="B103" s="2296"/>
      <c r="C103" s="2296"/>
      <c r="D103" s="2296"/>
      <c r="E103" s="1456"/>
      <c r="I103" s="1447"/>
      <c r="J103" s="1447"/>
      <c r="K103" s="1447"/>
      <c r="L103" s="1447"/>
      <c r="M103" s="1447"/>
      <c r="N103" s="1447"/>
      <c r="O103" s="1447"/>
      <c r="P103" s="1520"/>
      <c r="R103" s="1457"/>
      <c r="S103" s="1457"/>
      <c r="T103" s="1457"/>
      <c r="U103" s="1457"/>
      <c r="V103" s="1457"/>
      <c r="W103" s="1457"/>
      <c r="X103" s="1457"/>
      <c r="Y103" s="1457"/>
    </row>
    <row r="104" spans="1:25" ht="12.75" customHeight="1" x14ac:dyDescent="0.2">
      <c r="A104" s="2295"/>
      <c r="B104" s="2296"/>
      <c r="C104" s="2296"/>
      <c r="D104" s="2296"/>
      <c r="E104" s="1456"/>
      <c r="I104" s="1447"/>
      <c r="J104" s="1447"/>
      <c r="K104" s="1447"/>
      <c r="L104" s="1447"/>
      <c r="M104" s="1447"/>
      <c r="N104" s="1447"/>
      <c r="O104" s="1447"/>
      <c r="P104" s="1520"/>
      <c r="R104" s="1457"/>
      <c r="S104" s="1457"/>
      <c r="T104" s="1457"/>
      <c r="U104" s="1457"/>
      <c r="V104" s="1457"/>
      <c r="W104" s="1457"/>
      <c r="X104" s="1457"/>
      <c r="Y104" s="1457"/>
    </row>
    <row r="105" spans="1:25" ht="12.75" customHeight="1" x14ac:dyDescent="0.2">
      <c r="A105" s="2295"/>
      <c r="B105" s="2296"/>
      <c r="C105" s="2296"/>
      <c r="D105" s="2296"/>
      <c r="E105" s="1456"/>
      <c r="I105" s="1447"/>
      <c r="J105" s="1447"/>
      <c r="K105" s="1447"/>
      <c r="L105" s="1447"/>
      <c r="M105" s="1447"/>
      <c r="N105" s="1447"/>
      <c r="O105" s="1447"/>
      <c r="P105" s="1520"/>
      <c r="R105" s="1457"/>
      <c r="S105" s="1457"/>
      <c r="T105" s="1457"/>
      <c r="U105" s="1457"/>
      <c r="V105" s="1457"/>
      <c r="W105" s="1457"/>
      <c r="X105" s="1457"/>
      <c r="Y105" s="1457"/>
    </row>
    <row r="106" spans="1:25" ht="12.75" customHeight="1" x14ac:dyDescent="0.2">
      <c r="A106" s="2295"/>
      <c r="B106" s="2296"/>
      <c r="C106" s="2296"/>
      <c r="D106" s="2296"/>
      <c r="E106" s="1456"/>
      <c r="I106" s="1447"/>
      <c r="J106" s="1447"/>
      <c r="K106" s="1447"/>
      <c r="L106" s="1447"/>
      <c r="M106" s="1447"/>
      <c r="N106" s="1447"/>
      <c r="O106" s="1447"/>
      <c r="P106" s="1520"/>
      <c r="R106" s="1457"/>
      <c r="S106" s="1457"/>
      <c r="T106" s="1457"/>
      <c r="U106" s="1457"/>
      <c r="V106" s="1457"/>
      <c r="W106" s="1457"/>
      <c r="X106" s="1457"/>
      <c r="Y106" s="1457"/>
    </row>
    <row r="107" spans="1:25" ht="12.75" customHeight="1" x14ac:dyDescent="0.2">
      <c r="A107" s="2295"/>
      <c r="B107" s="2296"/>
      <c r="C107" s="2296"/>
      <c r="D107" s="2296"/>
      <c r="E107" s="1456"/>
      <c r="I107" s="1447"/>
      <c r="J107" s="1447"/>
      <c r="K107" s="1447"/>
      <c r="L107" s="1447"/>
      <c r="M107" s="1447"/>
      <c r="N107" s="1447"/>
      <c r="O107" s="1447"/>
      <c r="P107" s="1520"/>
      <c r="R107" s="1457"/>
      <c r="S107" s="1457"/>
      <c r="T107" s="1457"/>
      <c r="U107" s="1457"/>
      <c r="V107" s="1457"/>
      <c r="W107" s="1457"/>
      <c r="X107" s="1457"/>
      <c r="Y107" s="1457"/>
    </row>
    <row r="108" spans="1:25" ht="12.75" customHeight="1" x14ac:dyDescent="0.2">
      <c r="A108" s="2295"/>
      <c r="B108" s="2296"/>
      <c r="C108" s="2296"/>
      <c r="D108" s="2296"/>
      <c r="E108" s="1456"/>
      <c r="I108" s="1447"/>
      <c r="J108" s="1447"/>
      <c r="K108" s="1447"/>
      <c r="L108" s="1447"/>
      <c r="M108" s="1447"/>
      <c r="N108" s="1447"/>
      <c r="O108" s="1447"/>
      <c r="P108" s="1520"/>
      <c r="R108" s="1457"/>
      <c r="S108" s="1457"/>
      <c r="T108" s="1457"/>
      <c r="U108" s="1457"/>
      <c r="V108" s="1457"/>
      <c r="W108" s="1457"/>
      <c r="X108" s="1457"/>
      <c r="Y108" s="1457"/>
    </row>
    <row r="109" spans="1:25" ht="12.75" customHeight="1" x14ac:dyDescent="0.2">
      <c r="A109" s="2295"/>
      <c r="B109" s="2296"/>
      <c r="C109" s="2296"/>
      <c r="D109" s="2296"/>
      <c r="E109" s="1456"/>
      <c r="I109" s="1447"/>
      <c r="J109" s="1447"/>
      <c r="K109" s="1447"/>
      <c r="L109" s="1447"/>
      <c r="M109" s="1447"/>
      <c r="N109" s="1447"/>
      <c r="O109" s="1447"/>
      <c r="P109" s="1520"/>
      <c r="R109" s="1457"/>
      <c r="S109" s="1457"/>
      <c r="T109" s="1457"/>
      <c r="U109" s="1457"/>
      <c r="V109" s="1457"/>
      <c r="W109" s="1457"/>
      <c r="X109" s="1457"/>
      <c r="Y109" s="1457"/>
    </row>
    <row r="110" spans="1:25" ht="12.75" customHeight="1" x14ac:dyDescent="0.2">
      <c r="A110" s="2295"/>
      <c r="B110" s="2296"/>
      <c r="C110" s="2296"/>
      <c r="D110" s="2296"/>
      <c r="E110" s="1456"/>
      <c r="I110" s="1447"/>
      <c r="J110" s="1447"/>
      <c r="K110" s="1447"/>
      <c r="L110" s="1447"/>
      <c r="M110" s="1447"/>
      <c r="N110" s="1447"/>
      <c r="O110" s="1447"/>
      <c r="P110" s="1520"/>
      <c r="R110" s="1457"/>
      <c r="S110" s="1457"/>
      <c r="T110" s="1457"/>
      <c r="U110" s="1457"/>
      <c r="V110" s="1457"/>
      <c r="W110" s="1457"/>
      <c r="X110" s="1457"/>
      <c r="Y110" s="1457"/>
    </row>
    <row r="111" spans="1:25" ht="12.75" customHeight="1" x14ac:dyDescent="0.2">
      <c r="A111" s="2295"/>
      <c r="B111" s="2296"/>
      <c r="C111" s="2296"/>
      <c r="D111" s="2296"/>
      <c r="E111" s="1456"/>
      <c r="I111" s="1447"/>
      <c r="J111" s="1447"/>
      <c r="K111" s="1447"/>
      <c r="L111" s="1447"/>
      <c r="M111" s="1447"/>
      <c r="N111" s="1447"/>
      <c r="O111" s="1447"/>
      <c r="P111" s="1520"/>
      <c r="R111" s="1457"/>
      <c r="S111" s="1457"/>
      <c r="T111" s="1457"/>
      <c r="U111" s="1457"/>
      <c r="V111" s="1457"/>
      <c r="W111" s="1457"/>
      <c r="X111" s="1457"/>
      <c r="Y111" s="1457"/>
    </row>
    <row r="112" spans="1:25" ht="12.75" customHeight="1" x14ac:dyDescent="0.2">
      <c r="A112" s="2295"/>
      <c r="B112" s="2296"/>
      <c r="C112" s="2296"/>
      <c r="D112" s="2296"/>
      <c r="E112" s="1456"/>
      <c r="I112" s="1447"/>
      <c r="J112" s="1447"/>
      <c r="K112" s="1447"/>
      <c r="L112" s="1447"/>
      <c r="M112" s="1447"/>
      <c r="N112" s="1447"/>
      <c r="O112" s="1447"/>
      <c r="P112" s="1520"/>
      <c r="R112" s="1457"/>
      <c r="S112" s="1457"/>
      <c r="T112" s="1457"/>
      <c r="U112" s="1457"/>
      <c r="V112" s="1457"/>
      <c r="W112" s="1457"/>
      <c r="X112" s="1457"/>
      <c r="Y112" s="1457"/>
    </row>
    <row r="113" spans="1:25" ht="12.75" customHeight="1" x14ac:dyDescent="0.2">
      <c r="A113" s="2295"/>
      <c r="B113" s="2296"/>
      <c r="C113" s="2296"/>
      <c r="D113" s="2296"/>
      <c r="E113" s="1456"/>
      <c r="I113" s="1447"/>
      <c r="J113" s="1447"/>
      <c r="K113" s="1447"/>
      <c r="L113" s="1447"/>
      <c r="M113" s="1447"/>
      <c r="N113" s="1447"/>
      <c r="O113" s="1447"/>
      <c r="P113" s="1520"/>
      <c r="R113" s="1457"/>
      <c r="S113" s="1457"/>
      <c r="T113" s="1457"/>
      <c r="U113" s="1457"/>
      <c r="V113" s="1457"/>
      <c r="W113" s="1457"/>
      <c r="X113" s="1457"/>
      <c r="Y113" s="1457"/>
    </row>
    <row r="114" spans="1:25" ht="12.75" customHeight="1" x14ac:dyDescent="0.2">
      <c r="A114" s="2295"/>
      <c r="B114" s="2296"/>
      <c r="C114" s="2296"/>
      <c r="D114" s="2296"/>
      <c r="E114" s="1456"/>
      <c r="I114" s="1447"/>
      <c r="J114" s="1447"/>
      <c r="K114" s="1447"/>
      <c r="L114" s="1447"/>
      <c r="M114" s="1447"/>
      <c r="N114" s="1447"/>
      <c r="O114" s="1447"/>
      <c r="P114" s="1520"/>
      <c r="R114" s="1457"/>
      <c r="S114" s="1457"/>
      <c r="T114" s="1457"/>
      <c r="U114" s="1457"/>
      <c r="V114" s="1457"/>
      <c r="W114" s="1457"/>
      <c r="X114" s="1457"/>
      <c r="Y114" s="1457"/>
    </row>
    <row r="115" spans="1:25" ht="12.75" customHeight="1" x14ac:dyDescent="0.2">
      <c r="A115" s="2295"/>
      <c r="B115" s="2296"/>
      <c r="C115" s="2296"/>
      <c r="D115" s="2296"/>
      <c r="E115" s="1456"/>
      <c r="I115" s="1447"/>
      <c r="J115" s="1447"/>
      <c r="K115" s="1447"/>
      <c r="L115" s="1447"/>
      <c r="M115" s="1447"/>
      <c r="N115" s="1447"/>
      <c r="O115" s="1447"/>
      <c r="P115" s="1520"/>
      <c r="R115" s="1457"/>
      <c r="S115" s="1457"/>
      <c r="T115" s="1457"/>
      <c r="U115" s="1457"/>
      <c r="V115" s="1457"/>
      <c r="W115" s="1457"/>
      <c r="X115" s="1457"/>
      <c r="Y115" s="1457"/>
    </row>
    <row r="116" spans="1:25" ht="12.75" customHeight="1" x14ac:dyDescent="0.2">
      <c r="A116" s="2295"/>
      <c r="B116" s="2296"/>
      <c r="C116" s="2296"/>
      <c r="D116" s="2296"/>
      <c r="E116" s="1456"/>
      <c r="I116" s="1447"/>
      <c r="J116" s="1447"/>
      <c r="K116" s="1447"/>
      <c r="L116" s="1447"/>
      <c r="M116" s="1447"/>
      <c r="N116" s="1447"/>
      <c r="O116" s="1447"/>
      <c r="P116" s="1520"/>
      <c r="R116" s="1457"/>
      <c r="S116" s="1457"/>
      <c r="T116" s="1457"/>
      <c r="U116" s="1457"/>
      <c r="V116" s="1457"/>
      <c r="W116" s="1457"/>
      <c r="X116" s="1457"/>
      <c r="Y116" s="1457"/>
    </row>
    <row r="117" spans="1:25" ht="12.75" customHeight="1" x14ac:dyDescent="0.2">
      <c r="A117" s="2295"/>
      <c r="B117" s="2296"/>
      <c r="C117" s="2296"/>
      <c r="D117" s="2296"/>
      <c r="E117" s="1456"/>
      <c r="I117" s="1447"/>
      <c r="J117" s="1447"/>
      <c r="K117" s="1447"/>
      <c r="L117" s="1447"/>
      <c r="M117" s="1447"/>
      <c r="N117" s="1447"/>
      <c r="O117" s="1447"/>
      <c r="P117" s="1520"/>
      <c r="R117" s="1457"/>
      <c r="S117" s="1457"/>
      <c r="T117" s="1457"/>
      <c r="U117" s="1457"/>
      <c r="V117" s="1457"/>
      <c r="W117" s="1457"/>
      <c r="X117" s="1457"/>
      <c r="Y117" s="1457"/>
    </row>
    <row r="118" spans="1:25" ht="12.75" customHeight="1" x14ac:dyDescent="0.2">
      <c r="A118" s="2295"/>
      <c r="B118" s="2296"/>
      <c r="C118" s="2296"/>
      <c r="D118" s="2296"/>
      <c r="E118" s="1456"/>
      <c r="I118" s="1447"/>
      <c r="J118" s="1447"/>
      <c r="K118" s="1447"/>
      <c r="L118" s="1447"/>
      <c r="M118" s="1447"/>
      <c r="N118" s="1447"/>
      <c r="O118" s="1447"/>
      <c r="P118" s="1520"/>
      <c r="R118" s="1457"/>
      <c r="S118" s="1457"/>
      <c r="T118" s="1457"/>
      <c r="U118" s="1457"/>
      <c r="V118" s="1457"/>
      <c r="W118" s="1457"/>
      <c r="X118" s="1457"/>
      <c r="Y118" s="1457"/>
    </row>
    <row r="119" spans="1:25" ht="12.75" customHeight="1" x14ac:dyDescent="0.2">
      <c r="A119" s="2296"/>
      <c r="B119" s="2296"/>
      <c r="C119" s="2296"/>
      <c r="D119" s="2296"/>
      <c r="E119" s="1456"/>
      <c r="I119" s="1447"/>
      <c r="J119" s="1447"/>
      <c r="K119" s="1447"/>
      <c r="L119" s="1447"/>
      <c r="M119" s="1447"/>
      <c r="N119" s="1447"/>
      <c r="O119" s="1447"/>
      <c r="P119" s="1520"/>
      <c r="R119" s="1457"/>
      <c r="S119" s="1457"/>
      <c r="T119" s="1457"/>
      <c r="U119" s="1457"/>
      <c r="V119" s="1457"/>
      <c r="W119" s="1457"/>
      <c r="X119" s="1457"/>
      <c r="Y119" s="1457"/>
    </row>
    <row r="120" spans="1:25" ht="12.75" customHeight="1" x14ac:dyDescent="0.2">
      <c r="A120" s="2296"/>
      <c r="B120" s="2296"/>
      <c r="C120" s="2296"/>
      <c r="D120" s="2296"/>
      <c r="E120" s="1456"/>
      <c r="I120" s="1447"/>
      <c r="J120" s="1447"/>
      <c r="K120" s="1447"/>
      <c r="L120" s="1447"/>
      <c r="M120" s="1447"/>
      <c r="N120" s="1447"/>
      <c r="O120" s="1447"/>
      <c r="P120" s="1520"/>
      <c r="R120" s="1457"/>
      <c r="S120" s="1457"/>
      <c r="T120" s="1457"/>
      <c r="U120" s="1457"/>
      <c r="V120" s="1457"/>
      <c r="W120" s="1457"/>
      <c r="X120" s="1457"/>
      <c r="Y120" s="1457"/>
    </row>
    <row r="121" spans="1:25" ht="12.75" customHeight="1" x14ac:dyDescent="0.2">
      <c r="A121" s="2296"/>
      <c r="B121" s="2296"/>
      <c r="C121" s="2296"/>
      <c r="D121" s="2296"/>
      <c r="E121" s="1456"/>
      <c r="I121" s="1447"/>
      <c r="J121" s="1447"/>
      <c r="K121" s="1447"/>
      <c r="L121" s="1447"/>
      <c r="M121" s="1447"/>
      <c r="N121" s="1447"/>
      <c r="O121" s="1447"/>
      <c r="P121" s="1520"/>
      <c r="R121" s="1457"/>
      <c r="S121" s="1457"/>
      <c r="T121" s="1457"/>
      <c r="U121" s="1457"/>
      <c r="V121" s="1457"/>
      <c r="W121" s="1457"/>
      <c r="X121" s="1457"/>
      <c r="Y121" s="1457"/>
    </row>
    <row r="122" spans="1:25" ht="12.75" customHeight="1" x14ac:dyDescent="0.2">
      <c r="A122" s="2296"/>
      <c r="B122" s="2296"/>
      <c r="C122" s="2296"/>
      <c r="D122" s="2296"/>
      <c r="E122" s="1456"/>
      <c r="I122" s="1447"/>
      <c r="J122" s="1447"/>
      <c r="K122" s="1447"/>
      <c r="L122" s="1447"/>
      <c r="M122" s="1447"/>
      <c r="N122" s="1447"/>
      <c r="O122" s="1447"/>
      <c r="P122" s="1520"/>
      <c r="R122" s="1457"/>
      <c r="S122" s="1457"/>
      <c r="T122" s="1457"/>
      <c r="U122" s="1457"/>
      <c r="V122" s="1457"/>
      <c r="W122" s="1457"/>
      <c r="X122" s="1457"/>
      <c r="Y122" s="1457"/>
    </row>
    <row r="123" spans="1:25" ht="12.75" customHeight="1" x14ac:dyDescent="0.2">
      <c r="A123" s="2296"/>
      <c r="B123" s="2296"/>
      <c r="C123" s="2296"/>
      <c r="D123" s="2296"/>
      <c r="E123" s="1456"/>
      <c r="I123" s="1447"/>
      <c r="J123" s="1447"/>
      <c r="K123" s="1447"/>
      <c r="L123" s="1447"/>
      <c r="M123" s="1447"/>
      <c r="N123" s="1447"/>
      <c r="O123" s="1447"/>
      <c r="P123" s="1520"/>
      <c r="R123" s="1457"/>
      <c r="S123" s="1457"/>
      <c r="T123" s="1457"/>
      <c r="U123" s="1457"/>
      <c r="V123" s="1457"/>
      <c r="W123" s="1457"/>
      <c r="X123" s="1457"/>
      <c r="Y123" s="1457"/>
    </row>
    <row r="124" spans="1:25" ht="12.75" customHeight="1" x14ac:dyDescent="0.2">
      <c r="A124" s="2296"/>
      <c r="B124" s="2296"/>
      <c r="C124" s="2296"/>
      <c r="D124" s="2296"/>
      <c r="E124" s="1456"/>
      <c r="I124" s="1447"/>
      <c r="J124" s="1447"/>
      <c r="K124" s="1447"/>
      <c r="L124" s="1447"/>
      <c r="M124" s="1447"/>
      <c r="N124" s="1447"/>
      <c r="O124" s="1447"/>
      <c r="P124" s="1520"/>
      <c r="R124" s="1457"/>
      <c r="S124" s="1457"/>
      <c r="T124" s="1457"/>
      <c r="U124" s="1457"/>
      <c r="V124" s="1457"/>
      <c r="W124" s="1457"/>
      <c r="X124" s="1457"/>
      <c r="Y124" s="1457"/>
    </row>
    <row r="125" spans="1:25" ht="12.75" customHeight="1" x14ac:dyDescent="0.2">
      <c r="A125" s="2296"/>
      <c r="B125" s="2296"/>
      <c r="C125" s="2296"/>
      <c r="D125" s="2296"/>
      <c r="E125" s="1456"/>
      <c r="I125" s="1447"/>
      <c r="J125" s="1447"/>
      <c r="K125" s="1447"/>
      <c r="L125" s="1447"/>
      <c r="M125" s="1447"/>
      <c r="N125" s="1447"/>
      <c r="O125" s="1447"/>
      <c r="P125" s="1520"/>
      <c r="R125" s="1457"/>
      <c r="S125" s="1457"/>
      <c r="T125" s="1457"/>
      <c r="U125" s="1457"/>
      <c r="V125" s="1457"/>
      <c r="W125" s="1457"/>
      <c r="X125" s="1457"/>
      <c r="Y125" s="1457"/>
    </row>
    <row r="126" spans="1:25" ht="12.75" customHeight="1" x14ac:dyDescent="0.2">
      <c r="A126" s="2296"/>
      <c r="B126" s="2296"/>
      <c r="C126" s="2296"/>
      <c r="D126" s="2296"/>
      <c r="E126" s="1456"/>
      <c r="I126" s="1447"/>
      <c r="J126" s="1447"/>
      <c r="K126" s="1447"/>
      <c r="L126" s="1447"/>
      <c r="M126" s="1447"/>
      <c r="N126" s="1447"/>
      <c r="O126" s="1447"/>
      <c r="P126" s="1520"/>
      <c r="R126" s="1457"/>
      <c r="S126" s="1457"/>
      <c r="T126" s="1457"/>
      <c r="U126" s="1457"/>
      <c r="V126" s="1457"/>
      <c r="W126" s="1457"/>
      <c r="X126" s="1457"/>
      <c r="Y126" s="1457"/>
    </row>
    <row r="127" spans="1:25" ht="12.75" customHeight="1" x14ac:dyDescent="0.2">
      <c r="A127" s="2296"/>
      <c r="B127" s="2296"/>
      <c r="C127" s="2296"/>
      <c r="D127" s="2296"/>
      <c r="E127" s="1456"/>
      <c r="I127" s="1447"/>
      <c r="J127" s="1447"/>
      <c r="K127" s="1447"/>
      <c r="L127" s="1447"/>
      <c r="M127" s="1447"/>
      <c r="N127" s="1447"/>
      <c r="O127" s="1447"/>
      <c r="P127" s="1520"/>
      <c r="R127" s="1457"/>
      <c r="S127" s="1457"/>
      <c r="T127" s="1457"/>
      <c r="U127" s="1457"/>
      <c r="V127" s="1457"/>
      <c r="W127" s="1457"/>
      <c r="X127" s="1457"/>
      <c r="Y127" s="1457"/>
    </row>
    <row r="128" spans="1:25" x14ac:dyDescent="0.2">
      <c r="A128" s="2296"/>
      <c r="B128" s="2296"/>
      <c r="C128" s="2296"/>
      <c r="D128" s="2296"/>
      <c r="E128" s="1456"/>
      <c r="I128" s="1447"/>
      <c r="J128" s="1447"/>
      <c r="K128" s="1447"/>
      <c r="L128" s="1447"/>
      <c r="M128" s="1447"/>
      <c r="N128" s="1447"/>
      <c r="O128" s="1447"/>
      <c r="P128" s="1520"/>
      <c r="R128" s="1457"/>
      <c r="S128" s="1457"/>
      <c r="T128" s="1457"/>
      <c r="U128" s="1457"/>
      <c r="V128" s="1457"/>
      <c r="W128" s="1457"/>
      <c r="X128" s="1457"/>
      <c r="Y128" s="1457"/>
    </row>
    <row r="129" spans="1:25" x14ac:dyDescent="0.2">
      <c r="A129" s="2296"/>
      <c r="B129" s="2296"/>
      <c r="C129" s="2296"/>
      <c r="D129" s="2296"/>
      <c r="E129" s="1456"/>
      <c r="I129" s="1447"/>
      <c r="J129" s="1447"/>
      <c r="K129" s="1447"/>
      <c r="L129" s="1447"/>
      <c r="M129" s="1447"/>
      <c r="N129" s="1447"/>
      <c r="O129" s="1447"/>
      <c r="P129" s="1520"/>
      <c r="R129" s="1457"/>
      <c r="S129" s="1457"/>
      <c r="T129" s="1457"/>
      <c r="U129" s="1457"/>
      <c r="V129" s="1457"/>
      <c r="W129" s="1457"/>
      <c r="X129" s="1457"/>
      <c r="Y129" s="1457"/>
    </row>
    <row r="130" spans="1:25" x14ac:dyDescent="0.2">
      <c r="A130" s="2296"/>
      <c r="B130" s="2296"/>
      <c r="C130" s="2296"/>
      <c r="D130" s="2296"/>
      <c r="E130" s="1456"/>
      <c r="I130" s="1447"/>
      <c r="J130" s="1447"/>
      <c r="K130" s="1447"/>
      <c r="L130" s="1447"/>
      <c r="M130" s="1447"/>
      <c r="N130" s="1447"/>
      <c r="O130" s="1447"/>
      <c r="P130" s="1520"/>
      <c r="R130" s="1457"/>
      <c r="S130" s="1457"/>
      <c r="T130" s="1457"/>
      <c r="U130" s="1457"/>
      <c r="V130" s="1457"/>
      <c r="W130" s="1457"/>
      <c r="X130" s="1457"/>
      <c r="Y130" s="1457"/>
    </row>
    <row r="131" spans="1:25" x14ac:dyDescent="0.2">
      <c r="A131" s="2296"/>
      <c r="B131" s="2296"/>
      <c r="C131" s="2296"/>
      <c r="D131" s="2296"/>
      <c r="E131" s="1456"/>
      <c r="I131" s="1447"/>
      <c r="J131" s="1447"/>
      <c r="K131" s="1447"/>
      <c r="L131" s="1447"/>
      <c r="M131" s="1447"/>
      <c r="N131" s="1447"/>
      <c r="O131" s="1447"/>
      <c r="P131" s="1520"/>
      <c r="R131" s="1457"/>
      <c r="S131" s="1457"/>
      <c r="T131" s="1457"/>
      <c r="U131" s="1457"/>
      <c r="V131" s="1457"/>
      <c r="W131" s="1457"/>
      <c r="X131" s="1457"/>
      <c r="Y131" s="1457"/>
    </row>
    <row r="132" spans="1:25" x14ac:dyDescent="0.2">
      <c r="A132" s="2296"/>
      <c r="B132" s="2296"/>
      <c r="C132" s="2296"/>
      <c r="D132" s="2296"/>
      <c r="E132" s="1456"/>
      <c r="I132" s="1447"/>
      <c r="J132" s="1447"/>
      <c r="K132" s="1447"/>
      <c r="L132" s="1447"/>
      <c r="M132" s="1447"/>
      <c r="N132" s="1447"/>
      <c r="O132" s="1447"/>
      <c r="P132" s="1520"/>
      <c r="R132" s="1457"/>
      <c r="S132" s="1457"/>
      <c r="T132" s="1457"/>
      <c r="U132" s="1457"/>
      <c r="V132" s="1457"/>
      <c r="W132" s="1457"/>
      <c r="X132" s="1457"/>
      <c r="Y132" s="1457"/>
    </row>
    <row r="133" spans="1:25" x14ac:dyDescent="0.2">
      <c r="A133" s="2296"/>
      <c r="B133" s="2296"/>
      <c r="C133" s="2296"/>
      <c r="D133" s="2296"/>
      <c r="E133" s="1456"/>
      <c r="I133" s="1447"/>
      <c r="J133" s="1447"/>
      <c r="K133" s="1447"/>
      <c r="L133" s="1447"/>
      <c r="M133" s="1447"/>
      <c r="N133" s="1447"/>
      <c r="O133" s="1447"/>
      <c r="P133" s="1520"/>
      <c r="R133" s="1457"/>
      <c r="S133" s="1457"/>
      <c r="T133" s="1457"/>
      <c r="U133" s="1457"/>
      <c r="V133" s="1457"/>
      <c r="W133" s="1457"/>
      <c r="X133" s="1457"/>
      <c r="Y133" s="1457"/>
    </row>
    <row r="134" spans="1:25" x14ac:dyDescent="0.2">
      <c r="A134" s="2296"/>
      <c r="B134" s="2296"/>
      <c r="C134" s="2296"/>
      <c r="D134" s="2296"/>
      <c r="E134" s="1456"/>
      <c r="I134" s="1447"/>
      <c r="J134" s="1447"/>
      <c r="K134" s="1447"/>
      <c r="L134" s="1447"/>
      <c r="M134" s="1447"/>
      <c r="N134" s="1447"/>
      <c r="O134" s="1447"/>
      <c r="P134" s="1520"/>
      <c r="R134" s="1457"/>
      <c r="S134" s="1457"/>
      <c r="T134" s="1457"/>
      <c r="U134" s="1457"/>
      <c r="V134" s="1457"/>
      <c r="W134" s="1457"/>
      <c r="X134" s="1457"/>
      <c r="Y134" s="1457"/>
    </row>
    <row r="135" spans="1:25" x14ac:dyDescent="0.2">
      <c r="A135" s="2296"/>
      <c r="B135" s="2296"/>
      <c r="C135" s="2296"/>
      <c r="D135" s="2296"/>
      <c r="E135" s="1456"/>
      <c r="I135" s="1447"/>
      <c r="J135" s="1447"/>
      <c r="K135" s="1447"/>
      <c r="L135" s="1447"/>
      <c r="M135" s="1447"/>
      <c r="N135" s="1447"/>
      <c r="O135" s="1447"/>
      <c r="P135" s="1520"/>
      <c r="R135" s="1457"/>
      <c r="S135" s="1457"/>
      <c r="T135" s="1457"/>
      <c r="U135" s="1457"/>
      <c r="V135" s="1457"/>
      <c r="W135" s="1457"/>
      <c r="X135" s="1457"/>
      <c r="Y135" s="1457"/>
    </row>
    <row r="136" spans="1:25" x14ac:dyDescent="0.2">
      <c r="A136" s="2296"/>
      <c r="B136" s="2296"/>
      <c r="C136" s="2296"/>
      <c r="D136" s="2296"/>
      <c r="E136" s="1456"/>
      <c r="I136" s="1447"/>
      <c r="J136" s="1447"/>
      <c r="K136" s="1447"/>
      <c r="L136" s="1447"/>
      <c r="M136" s="1447"/>
      <c r="N136" s="1447"/>
      <c r="O136" s="1447"/>
      <c r="P136" s="1520"/>
      <c r="R136" s="1457"/>
      <c r="S136" s="1457"/>
      <c r="T136" s="1457"/>
      <c r="U136" s="1457"/>
      <c r="V136" s="1457"/>
      <c r="W136" s="1457"/>
      <c r="X136" s="1457"/>
      <c r="Y136" s="1457"/>
    </row>
    <row r="137" spans="1:25" x14ac:dyDescent="0.2">
      <c r="A137" s="2296"/>
      <c r="B137" s="2296"/>
      <c r="C137" s="2296"/>
      <c r="D137" s="2296"/>
      <c r="E137" s="1456"/>
      <c r="I137" s="1447"/>
      <c r="J137" s="1447"/>
      <c r="K137" s="1447"/>
      <c r="L137" s="1447"/>
      <c r="M137" s="1447"/>
      <c r="N137" s="1447"/>
      <c r="O137" s="1447"/>
      <c r="P137" s="1520"/>
      <c r="R137" s="1457"/>
      <c r="S137" s="1457"/>
      <c r="T137" s="1457"/>
      <c r="U137" s="1457"/>
      <c r="V137" s="1457"/>
      <c r="W137" s="1457"/>
      <c r="X137" s="1457"/>
      <c r="Y137" s="1457"/>
    </row>
    <row r="138" spans="1:25" x14ac:dyDescent="0.2">
      <c r="A138" s="2296"/>
      <c r="B138" s="2296"/>
      <c r="C138" s="2296"/>
      <c r="D138" s="2296"/>
      <c r="E138" s="1456"/>
      <c r="I138" s="1447"/>
      <c r="J138" s="1447"/>
      <c r="K138" s="1447"/>
      <c r="L138" s="1447"/>
      <c r="M138" s="1447"/>
      <c r="N138" s="1447"/>
      <c r="O138" s="1447"/>
      <c r="P138" s="1520"/>
      <c r="R138" s="1457"/>
      <c r="S138" s="1457"/>
      <c r="T138" s="1457"/>
      <c r="U138" s="1457"/>
      <c r="V138" s="1457"/>
      <c r="W138" s="1457"/>
      <c r="X138" s="1457"/>
      <c r="Y138" s="1457"/>
    </row>
    <row r="139" spans="1:25" x14ac:dyDescent="0.2">
      <c r="A139" s="2296"/>
      <c r="B139" s="2296"/>
      <c r="C139" s="2296"/>
      <c r="D139" s="2296"/>
      <c r="E139" s="1456"/>
      <c r="I139" s="1447"/>
      <c r="J139" s="1447"/>
      <c r="K139" s="1447"/>
      <c r="L139" s="1447"/>
      <c r="M139" s="1447"/>
      <c r="N139" s="1447"/>
      <c r="O139" s="1447"/>
      <c r="P139" s="1520"/>
      <c r="R139" s="1457"/>
      <c r="S139" s="1457"/>
      <c r="T139" s="1457"/>
      <c r="U139" s="1457"/>
      <c r="V139" s="1457"/>
      <c r="W139" s="1457"/>
      <c r="X139" s="1457"/>
      <c r="Y139" s="1457"/>
    </row>
    <row r="140" spans="1:25" x14ac:dyDescent="0.2">
      <c r="A140" s="2296"/>
      <c r="B140" s="2296"/>
      <c r="C140" s="2296"/>
      <c r="D140" s="2296"/>
      <c r="E140" s="1456"/>
      <c r="I140" s="1447"/>
      <c r="J140" s="1447"/>
      <c r="K140" s="1447"/>
      <c r="L140" s="1447"/>
      <c r="M140" s="1447"/>
      <c r="N140" s="1447"/>
      <c r="O140" s="1447"/>
      <c r="P140" s="1520"/>
      <c r="R140" s="1457"/>
      <c r="S140" s="1457"/>
      <c r="T140" s="1457"/>
      <c r="U140" s="1457"/>
      <c r="V140" s="1457"/>
      <c r="W140" s="1457"/>
      <c r="X140" s="1457"/>
      <c r="Y140" s="1457"/>
    </row>
    <row r="141" spans="1:25" x14ac:dyDescent="0.2">
      <c r="A141" s="2296"/>
      <c r="B141" s="2296"/>
      <c r="C141" s="2296"/>
      <c r="D141" s="2296"/>
      <c r="E141" s="1456"/>
      <c r="I141" s="1447"/>
      <c r="J141" s="1447"/>
      <c r="K141" s="1447"/>
      <c r="L141" s="1447"/>
      <c r="M141" s="1447"/>
      <c r="N141" s="1447"/>
      <c r="O141" s="1447"/>
      <c r="P141" s="1520"/>
      <c r="R141" s="1457"/>
      <c r="S141" s="1457"/>
      <c r="T141" s="1457"/>
      <c r="U141" s="1457"/>
      <c r="V141" s="1457"/>
      <c r="W141" s="1457"/>
      <c r="X141" s="1457"/>
      <c r="Y141" s="1457"/>
    </row>
    <row r="142" spans="1:25" x14ac:dyDescent="0.2">
      <c r="A142" s="2296"/>
      <c r="B142" s="2296"/>
      <c r="C142" s="2296"/>
      <c r="D142" s="2296"/>
      <c r="E142" s="1456"/>
      <c r="I142" s="1447"/>
      <c r="J142" s="1447"/>
      <c r="K142" s="1447"/>
      <c r="L142" s="1447"/>
      <c r="M142" s="1447"/>
      <c r="N142" s="1447"/>
      <c r="O142" s="1447"/>
      <c r="P142" s="1520"/>
      <c r="R142" s="1457"/>
      <c r="S142" s="1457"/>
      <c r="T142" s="1457"/>
      <c r="U142" s="1457"/>
      <c r="V142" s="1457"/>
      <c r="W142" s="1457"/>
      <c r="X142" s="1457"/>
      <c r="Y142" s="1457"/>
    </row>
    <row r="143" spans="1:25" x14ac:dyDescent="0.2">
      <c r="A143" s="2296"/>
      <c r="B143" s="2296"/>
      <c r="C143" s="2296"/>
      <c r="D143" s="2296"/>
      <c r="E143" s="1456"/>
      <c r="I143" s="1447"/>
      <c r="J143" s="1447"/>
      <c r="K143" s="1447"/>
      <c r="L143" s="1447"/>
      <c r="M143" s="1447"/>
      <c r="N143" s="1447"/>
      <c r="O143" s="1447"/>
      <c r="P143" s="1520"/>
      <c r="R143" s="1457"/>
      <c r="S143" s="1457"/>
      <c r="T143" s="1457"/>
      <c r="U143" s="1457"/>
      <c r="V143" s="1457"/>
      <c r="W143" s="1457"/>
      <c r="X143" s="1457"/>
      <c r="Y143" s="1457"/>
    </row>
    <row r="144" spans="1:25" x14ac:dyDescent="0.2">
      <c r="A144" s="2296"/>
      <c r="B144" s="2296"/>
      <c r="C144" s="2296"/>
      <c r="D144" s="2296"/>
      <c r="E144" s="1456"/>
      <c r="I144" s="1447"/>
      <c r="J144" s="1447"/>
      <c r="K144" s="1447"/>
      <c r="L144" s="1447"/>
      <c r="M144" s="1447"/>
      <c r="N144" s="1447"/>
      <c r="O144" s="1447"/>
      <c r="P144" s="1520"/>
      <c r="R144" s="1457"/>
      <c r="S144" s="1457"/>
      <c r="T144" s="1457"/>
      <c r="U144" s="1457"/>
      <c r="V144" s="1457"/>
      <c r="W144" s="1457"/>
      <c r="X144" s="1457"/>
      <c r="Y144" s="1457"/>
    </row>
    <row r="145" spans="1:25" x14ac:dyDescent="0.2">
      <c r="A145" s="2296"/>
      <c r="B145" s="2296"/>
      <c r="C145" s="2296"/>
      <c r="D145" s="2296"/>
      <c r="E145" s="1456"/>
      <c r="I145" s="1447"/>
      <c r="J145" s="1447"/>
      <c r="K145" s="1447"/>
      <c r="L145" s="1447"/>
      <c r="M145" s="1447"/>
      <c r="N145" s="1447"/>
      <c r="O145" s="1447"/>
      <c r="P145" s="1520"/>
      <c r="R145" s="1457"/>
      <c r="S145" s="1457"/>
      <c r="T145" s="1457"/>
      <c r="U145" s="1457"/>
      <c r="V145" s="1457"/>
      <c r="W145" s="1457"/>
      <c r="X145" s="1457"/>
      <c r="Y145" s="1457"/>
    </row>
    <row r="146" spans="1:25" x14ac:dyDescent="0.2">
      <c r="A146" s="2296"/>
      <c r="B146" s="2296"/>
      <c r="C146" s="2296"/>
      <c r="D146" s="2296"/>
      <c r="E146" s="1456"/>
      <c r="I146" s="1447"/>
      <c r="J146" s="1447"/>
      <c r="K146" s="1447"/>
      <c r="L146" s="1447"/>
      <c r="M146" s="1447"/>
      <c r="N146" s="1447"/>
      <c r="O146" s="1447"/>
      <c r="P146" s="1520"/>
      <c r="R146" s="1457"/>
      <c r="S146" s="1457"/>
      <c r="T146" s="1457"/>
      <c r="U146" s="1457"/>
      <c r="V146" s="1457"/>
      <c r="W146" s="1457"/>
      <c r="X146" s="1457"/>
      <c r="Y146" s="1457"/>
    </row>
    <row r="147" spans="1:25" x14ac:dyDescent="0.2">
      <c r="A147" s="2296"/>
      <c r="B147" s="2296"/>
      <c r="C147" s="2296"/>
      <c r="D147" s="2296"/>
      <c r="E147" s="1456"/>
      <c r="I147" s="1447"/>
      <c r="J147" s="1447"/>
      <c r="K147" s="1447"/>
      <c r="L147" s="1447"/>
      <c r="M147" s="1447"/>
      <c r="N147" s="1447"/>
      <c r="O147" s="1447"/>
      <c r="P147" s="1520"/>
      <c r="R147" s="1457"/>
      <c r="S147" s="1457"/>
      <c r="T147" s="1457"/>
      <c r="U147" s="1457"/>
      <c r="V147" s="1457"/>
      <c r="W147" s="1457"/>
      <c r="X147" s="1457"/>
      <c r="Y147" s="1457"/>
    </row>
    <row r="148" spans="1:25" x14ac:dyDescent="0.2">
      <c r="A148" s="2296"/>
      <c r="B148" s="2296"/>
      <c r="C148" s="2296"/>
      <c r="D148" s="2296"/>
      <c r="E148" s="1456"/>
      <c r="I148" s="1447"/>
      <c r="J148" s="1447"/>
      <c r="K148" s="1447"/>
      <c r="L148" s="1447"/>
      <c r="M148" s="1447"/>
      <c r="N148" s="1447"/>
      <c r="O148" s="1447"/>
      <c r="P148" s="1520"/>
      <c r="R148" s="1457"/>
      <c r="S148" s="1457"/>
      <c r="T148" s="1457"/>
      <c r="U148" s="1457"/>
      <c r="V148" s="1457"/>
      <c r="W148" s="1457"/>
      <c r="X148" s="1457"/>
      <c r="Y148" s="1457"/>
    </row>
    <row r="149" spans="1:25" x14ac:dyDescent="0.2">
      <c r="A149" s="2296"/>
      <c r="B149" s="2296"/>
      <c r="C149" s="2296"/>
      <c r="D149" s="2296"/>
      <c r="E149" s="1456"/>
      <c r="I149" s="1447"/>
      <c r="J149" s="1447"/>
      <c r="K149" s="1447"/>
      <c r="L149" s="1447"/>
      <c r="M149" s="1447"/>
      <c r="N149" s="1447"/>
      <c r="O149" s="1447"/>
      <c r="P149" s="1520"/>
      <c r="R149" s="1457"/>
      <c r="S149" s="1457"/>
      <c r="T149" s="1457"/>
      <c r="U149" s="1457"/>
      <c r="V149" s="1457"/>
      <c r="W149" s="1457"/>
      <c r="X149" s="1457"/>
      <c r="Y149" s="1457"/>
    </row>
    <row r="150" spans="1:25" x14ac:dyDescent="0.2">
      <c r="A150" s="2296"/>
      <c r="B150" s="2296"/>
      <c r="C150" s="2296"/>
      <c r="D150" s="2296"/>
      <c r="E150" s="1456"/>
      <c r="I150" s="1447"/>
      <c r="J150" s="1447"/>
      <c r="K150" s="1447"/>
      <c r="L150" s="1447"/>
      <c r="M150" s="1447"/>
      <c r="N150" s="1447"/>
      <c r="O150" s="1447"/>
      <c r="P150" s="1520"/>
      <c r="R150" s="1457"/>
      <c r="S150" s="1457"/>
      <c r="T150" s="1457"/>
      <c r="U150" s="1457"/>
      <c r="V150" s="1457"/>
      <c r="W150" s="1457"/>
      <c r="X150" s="1457"/>
      <c r="Y150" s="1457"/>
    </row>
    <row r="151" spans="1:25" x14ac:dyDescent="0.2">
      <c r="A151" s="2296"/>
      <c r="B151" s="2296"/>
      <c r="C151" s="2296"/>
      <c r="D151" s="2296"/>
      <c r="E151" s="1456"/>
      <c r="I151" s="1447"/>
      <c r="J151" s="1447"/>
      <c r="K151" s="1447"/>
      <c r="L151" s="1447"/>
      <c r="M151" s="1447"/>
      <c r="N151" s="1447"/>
      <c r="O151" s="1447"/>
      <c r="P151" s="1520"/>
      <c r="R151" s="1457"/>
      <c r="S151" s="1457"/>
      <c r="T151" s="1457"/>
      <c r="U151" s="1457"/>
      <c r="V151" s="1457"/>
      <c r="W151" s="1457"/>
      <c r="X151" s="1457"/>
      <c r="Y151" s="1457"/>
    </row>
    <row r="152" spans="1:25" x14ac:dyDescent="0.2">
      <c r="A152" s="2296"/>
      <c r="B152" s="2296"/>
      <c r="C152" s="2296"/>
      <c r="D152" s="2296"/>
      <c r="E152" s="1456"/>
      <c r="I152" s="1447"/>
      <c r="J152" s="1447"/>
      <c r="K152" s="1447"/>
      <c r="L152" s="1447"/>
      <c r="M152" s="1447"/>
      <c r="N152" s="1447"/>
      <c r="O152" s="1447"/>
      <c r="P152" s="1520"/>
      <c r="R152" s="1457"/>
      <c r="S152" s="1457"/>
      <c r="T152" s="1457"/>
      <c r="U152" s="1457"/>
      <c r="V152" s="1457"/>
      <c r="W152" s="1457"/>
      <c r="X152" s="1457"/>
      <c r="Y152" s="1457"/>
    </row>
    <row r="153" spans="1:25" x14ac:dyDescent="0.2">
      <c r="A153" s="2296"/>
      <c r="B153" s="2296"/>
      <c r="C153" s="2296"/>
      <c r="D153" s="2296"/>
      <c r="E153" s="1456"/>
      <c r="I153" s="1447"/>
      <c r="J153" s="1447"/>
      <c r="K153" s="1447"/>
      <c r="L153" s="1447"/>
      <c r="M153" s="1447"/>
      <c r="N153" s="1447"/>
      <c r="O153" s="1447"/>
      <c r="P153" s="1520"/>
      <c r="R153" s="1457"/>
      <c r="S153" s="1457"/>
      <c r="T153" s="1457"/>
      <c r="U153" s="1457"/>
      <c r="V153" s="1457"/>
      <c r="W153" s="1457"/>
      <c r="X153" s="1457"/>
      <c r="Y153" s="1457"/>
    </row>
    <row r="154" spans="1:25" x14ac:dyDescent="0.2">
      <c r="A154" s="2296"/>
      <c r="B154" s="2296"/>
      <c r="C154" s="2296"/>
      <c r="D154" s="2296"/>
      <c r="E154" s="1456"/>
      <c r="I154" s="1447"/>
      <c r="J154" s="1447"/>
      <c r="K154" s="1447"/>
      <c r="L154" s="1447"/>
      <c r="M154" s="1447"/>
      <c r="N154" s="1447"/>
      <c r="O154" s="1447"/>
      <c r="P154" s="1520"/>
      <c r="R154" s="1457"/>
      <c r="S154" s="1457"/>
      <c r="T154" s="1457"/>
      <c r="U154" s="1457"/>
      <c r="V154" s="1457"/>
      <c r="W154" s="1457"/>
      <c r="X154" s="1457"/>
      <c r="Y154" s="1457"/>
    </row>
    <row r="155" spans="1:25" x14ac:dyDescent="0.2">
      <c r="A155" s="2296"/>
      <c r="B155" s="2296"/>
      <c r="C155" s="2296"/>
      <c r="D155" s="2296"/>
      <c r="E155" s="1456"/>
      <c r="I155" s="1447"/>
      <c r="J155" s="1447"/>
      <c r="K155" s="1447"/>
      <c r="L155" s="1447"/>
      <c r="M155" s="1447"/>
      <c r="N155" s="1447"/>
      <c r="O155" s="1447"/>
      <c r="P155" s="1520"/>
      <c r="R155" s="1457"/>
      <c r="S155" s="1457"/>
      <c r="T155" s="1457"/>
      <c r="U155" s="1457"/>
      <c r="V155" s="1457"/>
      <c r="W155" s="1457"/>
      <c r="X155" s="1457"/>
      <c r="Y155" s="1457"/>
    </row>
    <row r="156" spans="1:25" x14ac:dyDescent="0.2">
      <c r="A156" s="2296"/>
      <c r="B156" s="2296"/>
      <c r="C156" s="2296"/>
      <c r="D156" s="2296"/>
      <c r="E156" s="1456"/>
      <c r="I156" s="1447"/>
      <c r="J156" s="1447"/>
      <c r="K156" s="1447"/>
      <c r="L156" s="1447"/>
      <c r="M156" s="1447"/>
      <c r="N156" s="1447"/>
      <c r="O156" s="1447"/>
      <c r="P156" s="1520"/>
      <c r="R156" s="1457"/>
      <c r="S156" s="1457"/>
      <c r="T156" s="1457"/>
      <c r="U156" s="1457"/>
      <c r="V156" s="1457"/>
      <c r="W156" s="1457"/>
      <c r="X156" s="1457"/>
      <c r="Y156" s="1457"/>
    </row>
    <row r="157" spans="1:25" x14ac:dyDescent="0.2">
      <c r="A157" s="2296"/>
      <c r="B157" s="2296"/>
      <c r="C157" s="2296"/>
      <c r="D157" s="2296"/>
      <c r="E157" s="1456"/>
      <c r="I157" s="1447"/>
      <c r="J157" s="1447"/>
      <c r="K157" s="1447"/>
      <c r="L157" s="1447"/>
      <c r="M157" s="1447"/>
      <c r="N157" s="1447"/>
      <c r="O157" s="1447"/>
      <c r="P157" s="1520"/>
      <c r="R157" s="1457"/>
      <c r="S157" s="1457"/>
      <c r="T157" s="1457"/>
      <c r="U157" s="1457"/>
      <c r="V157" s="1457"/>
      <c r="W157" s="1457"/>
      <c r="X157" s="1457"/>
      <c r="Y157" s="1457"/>
    </row>
    <row r="158" spans="1:25" x14ac:dyDescent="0.2">
      <c r="A158" s="2296"/>
      <c r="B158" s="2296"/>
      <c r="C158" s="2296"/>
      <c r="D158" s="2296"/>
      <c r="E158" s="1456"/>
      <c r="I158" s="1447"/>
      <c r="J158" s="1447"/>
      <c r="K158" s="1447"/>
      <c r="L158" s="1447"/>
      <c r="M158" s="1447"/>
      <c r="N158" s="1447"/>
      <c r="O158" s="1447"/>
      <c r="P158" s="1520"/>
      <c r="R158" s="1457"/>
      <c r="S158" s="1457"/>
      <c r="T158" s="1457"/>
      <c r="U158" s="1457"/>
      <c r="V158" s="1457"/>
      <c r="W158" s="1457"/>
      <c r="X158" s="1457"/>
      <c r="Y158" s="1457"/>
    </row>
    <row r="159" spans="1:25" x14ac:dyDescent="0.2">
      <c r="A159" s="2296"/>
      <c r="B159" s="2296"/>
      <c r="C159" s="2296"/>
      <c r="D159" s="2296"/>
      <c r="E159" s="1456"/>
      <c r="I159" s="1447"/>
      <c r="J159" s="1447"/>
      <c r="K159" s="1447"/>
      <c r="L159" s="1447"/>
      <c r="M159" s="1447"/>
      <c r="N159" s="1447"/>
      <c r="O159" s="1447"/>
      <c r="P159" s="1520"/>
      <c r="R159" s="1457"/>
      <c r="S159" s="1457"/>
      <c r="T159" s="1457"/>
      <c r="U159" s="1457"/>
      <c r="V159" s="1457"/>
      <c r="W159" s="1457"/>
      <c r="X159" s="1457"/>
      <c r="Y159" s="1457"/>
    </row>
    <row r="160" spans="1:25" x14ac:dyDescent="0.2">
      <c r="A160" s="2296"/>
      <c r="B160" s="2296"/>
      <c r="C160" s="2296"/>
      <c r="D160" s="2296"/>
      <c r="E160" s="1456"/>
      <c r="I160" s="1447"/>
      <c r="J160" s="1447"/>
      <c r="K160" s="1447"/>
      <c r="L160" s="1447"/>
      <c r="M160" s="1447"/>
      <c r="N160" s="1447"/>
      <c r="O160" s="1447"/>
      <c r="P160" s="1520"/>
      <c r="R160" s="1457"/>
      <c r="S160" s="1457"/>
      <c r="T160" s="1457"/>
      <c r="U160" s="1457"/>
      <c r="V160" s="1457"/>
      <c r="W160" s="1457"/>
      <c r="X160" s="1457"/>
      <c r="Y160" s="1457"/>
    </row>
    <row r="161" spans="1:25" x14ac:dyDescent="0.2">
      <c r="A161" s="2296"/>
      <c r="B161" s="2296"/>
      <c r="C161" s="2296"/>
      <c r="D161" s="2296"/>
      <c r="E161" s="1456"/>
      <c r="I161" s="1447"/>
      <c r="J161" s="1447"/>
      <c r="K161" s="1447"/>
      <c r="L161" s="1447"/>
      <c r="M161" s="1447"/>
      <c r="N161" s="1447"/>
      <c r="O161" s="1447"/>
      <c r="P161" s="1520"/>
      <c r="R161" s="1457"/>
      <c r="S161" s="1457"/>
      <c r="T161" s="1457"/>
      <c r="U161" s="1457"/>
      <c r="V161" s="1457"/>
      <c r="W161" s="1457"/>
      <c r="X161" s="1457"/>
      <c r="Y161" s="1457"/>
    </row>
    <row r="162" spans="1:25" x14ac:dyDescent="0.2">
      <c r="A162" s="2296"/>
      <c r="B162" s="2296"/>
      <c r="C162" s="2296"/>
      <c r="D162" s="2296"/>
      <c r="E162" s="1456"/>
      <c r="I162" s="1447"/>
      <c r="J162" s="1447"/>
      <c r="K162" s="1447"/>
      <c r="L162" s="1447"/>
      <c r="M162" s="1447"/>
      <c r="N162" s="1447"/>
      <c r="O162" s="1447"/>
      <c r="P162" s="1520"/>
      <c r="R162" s="1457"/>
      <c r="S162" s="1457"/>
      <c r="T162" s="1457"/>
      <c r="U162" s="1457"/>
      <c r="V162" s="1457"/>
      <c r="W162" s="1457"/>
      <c r="X162" s="1457"/>
      <c r="Y162" s="1457"/>
    </row>
    <row r="163" spans="1:25" x14ac:dyDescent="0.2">
      <c r="A163" s="2296"/>
      <c r="B163" s="2296"/>
      <c r="C163" s="2296"/>
      <c r="D163" s="2296"/>
      <c r="E163" s="1456"/>
      <c r="I163" s="1447"/>
      <c r="J163" s="1447"/>
      <c r="K163" s="1447"/>
      <c r="L163" s="1447"/>
      <c r="M163" s="1447"/>
      <c r="N163" s="1447"/>
      <c r="O163" s="1447"/>
      <c r="P163" s="1520"/>
      <c r="R163" s="1457"/>
      <c r="S163" s="1457"/>
      <c r="T163" s="1457"/>
      <c r="U163" s="1457"/>
      <c r="V163" s="1457"/>
      <c r="W163" s="1457"/>
      <c r="X163" s="1457"/>
      <c r="Y163" s="1457"/>
    </row>
    <row r="164" spans="1:25" x14ac:dyDescent="0.2">
      <c r="A164" s="2296"/>
      <c r="B164" s="2296"/>
      <c r="C164" s="2296"/>
      <c r="D164" s="2296"/>
      <c r="E164" s="1456"/>
      <c r="I164" s="1447"/>
      <c r="J164" s="1447"/>
      <c r="K164" s="1447"/>
      <c r="L164" s="1447"/>
      <c r="M164" s="1447"/>
      <c r="N164" s="1447"/>
      <c r="O164" s="1447"/>
      <c r="P164" s="1520"/>
      <c r="R164" s="1457"/>
      <c r="S164" s="1457"/>
      <c r="T164" s="1457"/>
      <c r="U164" s="1457"/>
      <c r="V164" s="1457"/>
      <c r="W164" s="1457"/>
      <c r="X164" s="1457"/>
      <c r="Y164" s="1457"/>
    </row>
    <row r="165" spans="1:25" x14ac:dyDescent="0.2">
      <c r="A165" s="2296"/>
      <c r="B165" s="2296"/>
      <c r="C165" s="2296"/>
      <c r="D165" s="2296"/>
      <c r="E165" s="1456"/>
      <c r="I165" s="1447"/>
      <c r="J165" s="1447"/>
      <c r="K165" s="1447"/>
      <c r="L165" s="1447"/>
      <c r="M165" s="1447"/>
      <c r="N165" s="1447"/>
      <c r="O165" s="1447"/>
      <c r="P165" s="1520"/>
      <c r="R165" s="1457"/>
      <c r="S165" s="1457"/>
      <c r="T165" s="1457"/>
      <c r="U165" s="1457"/>
      <c r="V165" s="1457"/>
      <c r="W165" s="1457"/>
      <c r="X165" s="1457"/>
      <c r="Y165" s="1457"/>
    </row>
    <row r="166" spans="1:25" x14ac:dyDescent="0.2">
      <c r="A166" s="2296"/>
      <c r="B166" s="2296"/>
      <c r="C166" s="2296"/>
      <c r="D166" s="2296"/>
      <c r="E166" s="1456"/>
      <c r="I166" s="1447"/>
      <c r="J166" s="1447"/>
      <c r="K166" s="1447"/>
      <c r="L166" s="1447"/>
      <c r="M166" s="1447"/>
      <c r="N166" s="1447"/>
      <c r="O166" s="1447"/>
      <c r="P166" s="1520"/>
      <c r="R166" s="1457"/>
      <c r="S166" s="1457"/>
      <c r="T166" s="1457"/>
      <c r="U166" s="1457"/>
      <c r="V166" s="1457"/>
      <c r="W166" s="1457"/>
      <c r="X166" s="1457"/>
      <c r="Y166" s="1457"/>
    </row>
    <row r="167" spans="1:25" x14ac:dyDescent="0.2">
      <c r="A167" s="2296"/>
      <c r="B167" s="2296"/>
      <c r="C167" s="2296"/>
      <c r="D167" s="2296"/>
      <c r="E167" s="1456"/>
      <c r="I167" s="1447"/>
      <c r="J167" s="1447"/>
      <c r="K167" s="1447"/>
      <c r="L167" s="1447"/>
      <c r="M167" s="1447"/>
      <c r="N167" s="1447"/>
      <c r="O167" s="1447"/>
      <c r="P167" s="1520"/>
      <c r="R167" s="1457"/>
      <c r="S167" s="1457"/>
      <c r="T167" s="1457"/>
      <c r="U167" s="1457"/>
      <c r="V167" s="1457"/>
      <c r="W167" s="1457"/>
      <c r="X167" s="1457"/>
      <c r="Y167" s="1457"/>
    </row>
    <row r="168" spans="1:25" x14ac:dyDescent="0.2">
      <c r="A168" s="2296"/>
      <c r="B168" s="2296"/>
      <c r="C168" s="2296"/>
      <c r="D168" s="2296"/>
      <c r="E168" s="1456"/>
      <c r="I168" s="1447"/>
      <c r="J168" s="1447"/>
      <c r="K168" s="1447"/>
      <c r="L168" s="1447"/>
      <c r="M168" s="1447"/>
      <c r="N168" s="1447"/>
      <c r="O168" s="1447"/>
      <c r="P168" s="1520"/>
      <c r="R168" s="1457"/>
      <c r="S168" s="1457"/>
      <c r="T168" s="1457"/>
      <c r="U168" s="1457"/>
      <c r="V168" s="1457"/>
      <c r="W168" s="1457"/>
      <c r="X168" s="1457"/>
      <c r="Y168" s="1457"/>
    </row>
    <row r="169" spans="1:25" x14ac:dyDescent="0.2">
      <c r="A169" s="2296"/>
      <c r="B169" s="2296"/>
      <c r="C169" s="2296"/>
      <c r="D169" s="2296"/>
      <c r="E169" s="1456"/>
      <c r="I169" s="1447"/>
      <c r="J169" s="1447"/>
      <c r="K169" s="1447"/>
      <c r="L169" s="1447"/>
      <c r="M169" s="1447"/>
      <c r="N169" s="1447"/>
      <c r="O169" s="1447"/>
      <c r="P169" s="1520"/>
      <c r="R169" s="1457"/>
      <c r="S169" s="1457"/>
      <c r="T169" s="1457"/>
      <c r="U169" s="1457"/>
      <c r="V169" s="1457"/>
      <c r="W169" s="1457"/>
      <c r="X169" s="1457"/>
      <c r="Y169" s="1457"/>
    </row>
    <row r="170" spans="1:25" x14ac:dyDescent="0.2">
      <c r="A170" s="2296"/>
      <c r="B170" s="2296"/>
      <c r="C170" s="2296"/>
      <c r="D170" s="2296"/>
      <c r="E170" s="1456"/>
      <c r="I170" s="1447"/>
      <c r="J170" s="1447"/>
      <c r="K170" s="1447"/>
      <c r="L170" s="1447"/>
      <c r="M170" s="1447"/>
      <c r="N170" s="1447"/>
      <c r="O170" s="1447"/>
      <c r="P170" s="1520"/>
      <c r="R170" s="1457"/>
      <c r="S170" s="1457"/>
      <c r="T170" s="1457"/>
      <c r="U170" s="1457"/>
      <c r="V170" s="1457"/>
      <c r="W170" s="1457"/>
      <c r="X170" s="1457"/>
      <c r="Y170" s="1457"/>
    </row>
    <row r="171" spans="1:25" x14ac:dyDescent="0.2">
      <c r="A171" s="2296"/>
      <c r="B171" s="2296"/>
      <c r="C171" s="2296"/>
      <c r="D171" s="2296"/>
      <c r="E171" s="1456"/>
      <c r="I171" s="1447"/>
      <c r="J171" s="1447"/>
      <c r="K171" s="1447"/>
      <c r="L171" s="1447"/>
      <c r="M171" s="1447"/>
      <c r="N171" s="1447"/>
      <c r="O171" s="1447"/>
      <c r="P171" s="1520"/>
      <c r="R171" s="1457"/>
      <c r="S171" s="1457"/>
      <c r="T171" s="1457"/>
      <c r="U171" s="1457"/>
      <c r="V171" s="1457"/>
      <c r="W171" s="1457"/>
      <c r="X171" s="1457"/>
      <c r="Y171" s="1457"/>
    </row>
    <row r="172" spans="1:25" x14ac:dyDescent="0.2">
      <c r="A172" s="2296"/>
      <c r="B172" s="2296"/>
      <c r="C172" s="2296"/>
      <c r="D172" s="2296"/>
      <c r="E172" s="1456"/>
      <c r="I172" s="1447"/>
      <c r="J172" s="1447"/>
      <c r="K172" s="1447"/>
      <c r="L172" s="1447"/>
      <c r="M172" s="1447"/>
      <c r="N172" s="1447"/>
      <c r="O172" s="1447"/>
      <c r="P172" s="1520"/>
      <c r="R172" s="1457"/>
      <c r="S172" s="1457"/>
      <c r="T172" s="1457"/>
      <c r="U172" s="1457"/>
      <c r="V172" s="1457"/>
      <c r="W172" s="1457"/>
      <c r="X172" s="1457"/>
      <c r="Y172" s="1457"/>
    </row>
    <row r="173" spans="1:25" x14ac:dyDescent="0.2">
      <c r="A173" s="2296"/>
      <c r="B173" s="2296"/>
      <c r="C173" s="2296"/>
      <c r="D173" s="2296"/>
      <c r="E173" s="1456"/>
      <c r="I173" s="1447"/>
      <c r="J173" s="1447"/>
      <c r="K173" s="1447"/>
      <c r="L173" s="1447"/>
      <c r="M173" s="1447"/>
      <c r="N173" s="1447"/>
      <c r="O173" s="1447"/>
      <c r="P173" s="1520"/>
      <c r="R173" s="1457"/>
      <c r="S173" s="1457"/>
      <c r="T173" s="1457"/>
      <c r="U173" s="1457"/>
      <c r="V173" s="1457"/>
      <c r="W173" s="1457"/>
      <c r="X173" s="1457"/>
      <c r="Y173" s="1457"/>
    </row>
    <row r="174" spans="1:25" x14ac:dyDescent="0.2">
      <c r="A174" s="2296"/>
      <c r="B174" s="2296"/>
      <c r="C174" s="2296"/>
      <c r="D174" s="2296"/>
      <c r="E174" s="1456"/>
      <c r="I174" s="1447"/>
      <c r="J174" s="1447"/>
      <c r="K174" s="1447"/>
      <c r="L174" s="1447"/>
      <c r="M174" s="1447"/>
      <c r="N174" s="1447"/>
      <c r="O174" s="1447"/>
      <c r="P174" s="1520"/>
      <c r="R174" s="1457"/>
      <c r="S174" s="1457"/>
      <c r="T174" s="1457"/>
      <c r="U174" s="1457"/>
      <c r="V174" s="1457"/>
      <c r="W174" s="1457"/>
      <c r="X174" s="1457"/>
      <c r="Y174" s="1457"/>
    </row>
    <row r="175" spans="1:25" x14ac:dyDescent="0.2">
      <c r="A175" s="2296"/>
      <c r="B175" s="2296"/>
      <c r="C175" s="2296"/>
      <c r="D175" s="2296"/>
      <c r="E175" s="1456"/>
      <c r="I175" s="1447"/>
      <c r="J175" s="1447"/>
      <c r="K175" s="1447"/>
      <c r="L175" s="1447"/>
      <c r="M175" s="1447"/>
      <c r="N175" s="1447"/>
      <c r="O175" s="1447"/>
      <c r="P175" s="1520"/>
      <c r="R175" s="1457"/>
      <c r="S175" s="1457"/>
      <c r="T175" s="1457"/>
      <c r="U175" s="1457"/>
      <c r="V175" s="1457"/>
      <c r="W175" s="1457"/>
      <c r="X175" s="1457"/>
      <c r="Y175" s="1457"/>
    </row>
    <row r="176" spans="1:25" x14ac:dyDescent="0.2">
      <c r="A176" s="2296"/>
      <c r="B176" s="2296"/>
      <c r="C176" s="2296"/>
      <c r="D176" s="2296"/>
      <c r="E176" s="1456"/>
      <c r="I176" s="1447"/>
      <c r="J176" s="1447"/>
      <c r="K176" s="1447"/>
      <c r="L176" s="1447"/>
      <c r="M176" s="1447"/>
      <c r="N176" s="1447"/>
      <c r="O176" s="1447"/>
      <c r="P176" s="1520"/>
      <c r="R176" s="1457"/>
      <c r="S176" s="1457"/>
      <c r="T176" s="1457"/>
      <c r="U176" s="1457"/>
      <c r="V176" s="1457"/>
      <c r="W176" s="1457"/>
      <c r="X176" s="1457"/>
      <c r="Y176" s="1457"/>
    </row>
    <row r="177" spans="1:25" x14ac:dyDescent="0.2">
      <c r="A177" s="2296"/>
      <c r="B177" s="2296"/>
      <c r="C177" s="2296"/>
      <c r="D177" s="2296"/>
      <c r="E177" s="1456"/>
      <c r="I177" s="1447"/>
      <c r="J177" s="1447"/>
      <c r="K177" s="1447"/>
      <c r="L177" s="1447"/>
      <c r="M177" s="1447"/>
      <c r="N177" s="1447"/>
      <c r="O177" s="1447"/>
      <c r="P177" s="1520"/>
      <c r="R177" s="1457"/>
      <c r="S177" s="1457"/>
      <c r="T177" s="1457"/>
      <c r="U177" s="1457"/>
      <c r="V177" s="1457"/>
      <c r="W177" s="1457"/>
      <c r="X177" s="1457"/>
      <c r="Y177" s="1457"/>
    </row>
    <row r="178" spans="1:25" x14ac:dyDescent="0.2">
      <c r="A178" s="2296"/>
      <c r="B178" s="2296"/>
      <c r="C178" s="2296"/>
      <c r="D178" s="2296"/>
      <c r="E178" s="1456"/>
      <c r="I178" s="1447"/>
      <c r="J178" s="1447"/>
      <c r="K178" s="1447"/>
      <c r="L178" s="1447"/>
      <c r="M178" s="1447"/>
      <c r="N178" s="1447"/>
      <c r="O178" s="1447"/>
      <c r="P178" s="1520"/>
      <c r="R178" s="1457"/>
      <c r="S178" s="1457"/>
      <c r="T178" s="1457"/>
      <c r="U178" s="1457"/>
      <c r="V178" s="1457"/>
      <c r="W178" s="1457"/>
      <c r="X178" s="1457"/>
      <c r="Y178" s="1457"/>
    </row>
    <row r="179" spans="1:25" x14ac:dyDescent="0.2">
      <c r="A179" s="2296"/>
      <c r="B179" s="2296"/>
      <c r="C179" s="2296"/>
      <c r="D179" s="2296"/>
      <c r="E179" s="1456"/>
      <c r="I179" s="1447"/>
      <c r="J179" s="1447"/>
      <c r="K179" s="1447"/>
      <c r="L179" s="1447"/>
      <c r="M179" s="1447"/>
      <c r="N179" s="1447"/>
      <c r="O179" s="1447"/>
      <c r="P179" s="1520"/>
      <c r="R179" s="1457"/>
      <c r="S179" s="1457"/>
      <c r="T179" s="1457"/>
      <c r="U179" s="1457"/>
      <c r="V179" s="1457"/>
      <c r="W179" s="1457"/>
      <c r="X179" s="1457"/>
      <c r="Y179" s="1457"/>
    </row>
    <row r="180" spans="1:25" x14ac:dyDescent="0.2">
      <c r="A180" s="2296"/>
      <c r="B180" s="2296"/>
      <c r="C180" s="2296"/>
      <c r="D180" s="2296"/>
      <c r="E180" s="1456"/>
      <c r="I180" s="1447"/>
      <c r="J180" s="1447"/>
      <c r="K180" s="1447"/>
      <c r="L180" s="1447"/>
      <c r="M180" s="1447"/>
      <c r="N180" s="1447"/>
      <c r="O180" s="1447"/>
      <c r="P180" s="1520"/>
      <c r="R180" s="1457"/>
      <c r="S180" s="1457"/>
      <c r="T180" s="1457"/>
      <c r="U180" s="1457"/>
      <c r="V180" s="1457"/>
      <c r="W180" s="1457"/>
      <c r="X180" s="1457"/>
      <c r="Y180" s="1457"/>
    </row>
    <row r="181" spans="1:25" x14ac:dyDescent="0.2">
      <c r="A181" s="2296"/>
      <c r="B181" s="2296"/>
      <c r="C181" s="2296"/>
      <c r="D181" s="2296"/>
      <c r="E181" s="1456"/>
      <c r="I181" s="1447"/>
      <c r="J181" s="1447"/>
      <c r="K181" s="1447"/>
      <c r="L181" s="1447"/>
      <c r="M181" s="1447"/>
      <c r="N181" s="1447"/>
      <c r="O181" s="1447"/>
      <c r="P181" s="1520"/>
      <c r="R181" s="1457"/>
      <c r="S181" s="1457"/>
      <c r="T181" s="1457"/>
      <c r="U181" s="1457"/>
      <c r="V181" s="1457"/>
      <c r="W181" s="1457"/>
      <c r="X181" s="1457"/>
      <c r="Y181" s="1457"/>
    </row>
    <row r="182" spans="1:25" x14ac:dyDescent="0.2">
      <c r="A182" s="2296"/>
      <c r="B182" s="2296"/>
      <c r="C182" s="2296"/>
      <c r="D182" s="2296"/>
      <c r="E182" s="1456"/>
      <c r="I182" s="1447"/>
      <c r="J182" s="1447"/>
      <c r="K182" s="1447"/>
      <c r="L182" s="1447"/>
      <c r="M182" s="1447"/>
      <c r="N182" s="1447"/>
      <c r="O182" s="1447"/>
      <c r="P182" s="1520"/>
      <c r="R182" s="1457"/>
      <c r="S182" s="1457"/>
      <c r="T182" s="1457"/>
      <c r="U182" s="1457"/>
      <c r="V182" s="1457"/>
      <c r="W182" s="1457"/>
      <c r="X182" s="1457"/>
      <c r="Y182" s="1457"/>
    </row>
    <row r="183" spans="1:25" x14ac:dyDescent="0.2">
      <c r="A183" s="2296"/>
      <c r="B183" s="2296"/>
      <c r="C183" s="2296"/>
      <c r="D183" s="2296"/>
      <c r="E183" s="1456"/>
      <c r="I183" s="1447"/>
      <c r="J183" s="1447"/>
      <c r="K183" s="1447"/>
      <c r="L183" s="1447"/>
      <c r="M183" s="1447"/>
      <c r="N183" s="1447"/>
      <c r="O183" s="1447"/>
      <c r="P183" s="1520"/>
      <c r="R183" s="1457"/>
      <c r="S183" s="1457"/>
      <c r="T183" s="1457"/>
      <c r="U183" s="1457"/>
      <c r="V183" s="1457"/>
      <c r="W183" s="1457"/>
      <c r="X183" s="1457"/>
      <c r="Y183" s="1457"/>
    </row>
    <row r="184" spans="1:25" x14ac:dyDescent="0.2">
      <c r="A184" s="2296"/>
      <c r="B184" s="2296"/>
      <c r="C184" s="2296"/>
      <c r="D184" s="2296"/>
      <c r="E184" s="1456"/>
      <c r="I184" s="1447"/>
      <c r="J184" s="1447"/>
      <c r="K184" s="1447"/>
      <c r="L184" s="1447"/>
      <c r="M184" s="1447"/>
      <c r="N184" s="1447"/>
      <c r="O184" s="1447"/>
      <c r="P184" s="1520"/>
      <c r="R184" s="1457"/>
      <c r="S184" s="1457"/>
      <c r="T184" s="1457"/>
      <c r="U184" s="1457"/>
      <c r="V184" s="1457"/>
      <c r="W184" s="1457"/>
      <c r="X184" s="1457"/>
      <c r="Y184" s="1457"/>
    </row>
    <row r="185" spans="1:25" x14ac:dyDescent="0.2">
      <c r="A185" s="2296"/>
      <c r="B185" s="2296"/>
      <c r="C185" s="2296"/>
      <c r="D185" s="2296"/>
      <c r="E185" s="1456"/>
      <c r="I185" s="1447"/>
      <c r="J185" s="1447"/>
      <c r="K185" s="1447"/>
      <c r="L185" s="1447"/>
      <c r="M185" s="1447"/>
      <c r="N185" s="1447"/>
      <c r="O185" s="1447"/>
      <c r="P185" s="1520"/>
      <c r="R185" s="1457"/>
      <c r="S185" s="1457"/>
      <c r="T185" s="1457"/>
      <c r="U185" s="1457"/>
      <c r="V185" s="1457"/>
      <c r="W185" s="1457"/>
      <c r="X185" s="1457"/>
      <c r="Y185" s="1457"/>
    </row>
    <row r="186" spans="1:25" x14ac:dyDescent="0.2">
      <c r="A186" s="2296"/>
      <c r="B186" s="2296"/>
      <c r="C186" s="2296"/>
      <c r="D186" s="2296"/>
      <c r="E186" s="1456"/>
      <c r="I186" s="1447"/>
      <c r="J186" s="1447"/>
      <c r="K186" s="1447"/>
      <c r="L186" s="1447"/>
      <c r="M186" s="1447"/>
      <c r="N186" s="1447"/>
      <c r="O186" s="1447"/>
      <c r="P186" s="1520"/>
      <c r="R186" s="1457"/>
      <c r="S186" s="1457"/>
      <c r="T186" s="1457"/>
      <c r="U186" s="1457"/>
      <c r="V186" s="1457"/>
      <c r="W186" s="1457"/>
      <c r="X186" s="1457"/>
      <c r="Y186" s="1457"/>
    </row>
    <row r="187" spans="1:25" x14ac:dyDescent="0.2">
      <c r="A187" s="2296"/>
      <c r="B187" s="2296"/>
      <c r="C187" s="2296"/>
      <c r="D187" s="2296"/>
      <c r="E187" s="1456"/>
      <c r="I187" s="1447"/>
      <c r="J187" s="1447"/>
      <c r="K187" s="1447"/>
      <c r="L187" s="1447"/>
      <c r="M187" s="1447"/>
      <c r="N187" s="1447"/>
      <c r="O187" s="1447"/>
      <c r="P187" s="1520"/>
      <c r="R187" s="1457"/>
      <c r="S187" s="1457"/>
      <c r="T187" s="1457"/>
      <c r="U187" s="1457"/>
      <c r="V187" s="1457"/>
      <c r="W187" s="1457"/>
      <c r="X187" s="1457"/>
      <c r="Y187" s="1457"/>
    </row>
    <row r="188" spans="1:25" x14ac:dyDescent="0.2">
      <c r="A188" s="2296"/>
      <c r="B188" s="2296"/>
      <c r="C188" s="2296"/>
      <c r="D188" s="2296"/>
      <c r="E188" s="1456"/>
      <c r="I188" s="1447"/>
      <c r="J188" s="1447"/>
      <c r="K188" s="1447"/>
      <c r="L188" s="1447"/>
      <c r="M188" s="1447"/>
      <c r="N188" s="1447"/>
      <c r="O188" s="1447"/>
      <c r="P188" s="1520"/>
      <c r="R188" s="1457"/>
      <c r="S188" s="1457"/>
      <c r="T188" s="1457"/>
      <c r="U188" s="1457"/>
      <c r="V188" s="1457"/>
      <c r="W188" s="1457"/>
      <c r="X188" s="1457"/>
      <c r="Y188" s="1457"/>
    </row>
    <row r="189" spans="1:25" x14ac:dyDescent="0.2">
      <c r="A189" s="2296"/>
      <c r="B189" s="2296"/>
      <c r="C189" s="2296"/>
      <c r="D189" s="2296"/>
      <c r="E189" s="1456"/>
      <c r="I189" s="1447"/>
      <c r="J189" s="1447"/>
      <c r="K189" s="1447"/>
      <c r="L189" s="1447"/>
      <c r="M189" s="1447"/>
      <c r="N189" s="1447"/>
      <c r="O189" s="1447"/>
      <c r="P189" s="1520"/>
      <c r="R189" s="1457"/>
      <c r="S189" s="1457"/>
      <c r="T189" s="1457"/>
      <c r="U189" s="1457"/>
      <c r="V189" s="1457"/>
      <c r="W189" s="1457"/>
      <c r="X189" s="1457"/>
      <c r="Y189" s="1457"/>
    </row>
    <row r="190" spans="1:25" x14ac:dyDescent="0.2">
      <c r="A190" s="2296"/>
      <c r="B190" s="2296"/>
      <c r="C190" s="2296"/>
      <c r="D190" s="2296"/>
      <c r="E190" s="1456"/>
      <c r="I190" s="1447"/>
      <c r="J190" s="1447"/>
      <c r="K190" s="1447"/>
      <c r="L190" s="1447"/>
      <c r="M190" s="1447"/>
      <c r="N190" s="1447"/>
      <c r="O190" s="1447"/>
      <c r="P190" s="1520"/>
      <c r="R190" s="1457"/>
      <c r="S190" s="1457"/>
      <c r="T190" s="1457"/>
      <c r="U190" s="1457"/>
      <c r="V190" s="1457"/>
      <c r="W190" s="1457"/>
      <c r="X190" s="1457"/>
      <c r="Y190" s="1457"/>
    </row>
    <row r="191" spans="1:25" x14ac:dyDescent="0.2">
      <c r="A191" s="2296"/>
      <c r="B191" s="2296"/>
      <c r="C191" s="2296"/>
      <c r="D191" s="2296"/>
      <c r="E191" s="1456"/>
      <c r="I191" s="1447"/>
      <c r="J191" s="1447"/>
      <c r="K191" s="1447"/>
      <c r="L191" s="1447"/>
      <c r="M191" s="1447"/>
      <c r="N191" s="1447"/>
      <c r="O191" s="1447"/>
      <c r="P191" s="1520"/>
      <c r="R191" s="1457"/>
      <c r="S191" s="1457"/>
      <c r="T191" s="1457"/>
      <c r="U191" s="1457"/>
      <c r="V191" s="1457"/>
      <c r="W191" s="1457"/>
      <c r="X191" s="1457"/>
      <c r="Y191" s="1457"/>
    </row>
    <row r="192" spans="1:25" x14ac:dyDescent="0.2">
      <c r="A192" s="2296"/>
      <c r="B192" s="2296"/>
      <c r="C192" s="2296"/>
      <c r="D192" s="2296"/>
      <c r="E192" s="1456"/>
      <c r="I192" s="1447"/>
      <c r="J192" s="1447"/>
      <c r="K192" s="1447"/>
      <c r="L192" s="1447"/>
      <c r="M192" s="1447"/>
      <c r="N192" s="1447"/>
      <c r="O192" s="1447"/>
      <c r="P192" s="1520"/>
      <c r="R192" s="1457"/>
      <c r="S192" s="1457"/>
      <c r="T192" s="1457"/>
      <c r="U192" s="1457"/>
      <c r="V192" s="1457"/>
      <c r="W192" s="1457"/>
      <c r="X192" s="1457"/>
      <c r="Y192" s="1457"/>
    </row>
    <row r="193" spans="1:25" x14ac:dyDescent="0.2">
      <c r="A193" s="2296"/>
      <c r="B193" s="2296"/>
      <c r="C193" s="2296"/>
      <c r="D193" s="2296"/>
      <c r="E193" s="1456"/>
      <c r="I193" s="1447"/>
      <c r="J193" s="1447"/>
      <c r="K193" s="1447"/>
      <c r="L193" s="1447"/>
      <c r="M193" s="1447"/>
      <c r="N193" s="1447"/>
      <c r="O193" s="1447"/>
      <c r="P193" s="1520"/>
      <c r="R193" s="1457"/>
      <c r="S193" s="1457"/>
      <c r="T193" s="1457"/>
      <c r="U193" s="1457"/>
      <c r="V193" s="1457"/>
      <c r="W193" s="1457"/>
      <c r="X193" s="1457"/>
      <c r="Y193" s="1457"/>
    </row>
    <row r="194" spans="1:25" x14ac:dyDescent="0.2">
      <c r="A194" s="2296"/>
      <c r="B194" s="2296"/>
      <c r="C194" s="2296"/>
      <c r="D194" s="2296"/>
      <c r="E194" s="1456"/>
      <c r="I194" s="1447"/>
      <c r="J194" s="1447"/>
      <c r="K194" s="1447"/>
      <c r="L194" s="1447"/>
      <c r="M194" s="1447"/>
      <c r="N194" s="1447"/>
      <c r="O194" s="1447"/>
      <c r="P194" s="1520"/>
      <c r="R194" s="1457"/>
      <c r="S194" s="1457"/>
      <c r="T194" s="1457"/>
      <c r="U194" s="1457"/>
      <c r="V194" s="1457"/>
      <c r="W194" s="1457"/>
      <c r="X194" s="1457"/>
      <c r="Y194" s="1457"/>
    </row>
    <row r="195" spans="1:25" x14ac:dyDescent="0.2">
      <c r="A195" s="2296"/>
      <c r="B195" s="2296"/>
      <c r="C195" s="2296"/>
      <c r="D195" s="2296"/>
      <c r="E195" s="1456"/>
      <c r="I195" s="1447"/>
      <c r="J195" s="1447"/>
      <c r="K195" s="1447"/>
      <c r="L195" s="1447"/>
      <c r="M195" s="1447"/>
      <c r="N195" s="1447"/>
      <c r="O195" s="1447"/>
      <c r="P195" s="1520"/>
      <c r="R195" s="1457"/>
      <c r="S195" s="1457"/>
      <c r="T195" s="1457"/>
      <c r="U195" s="1457"/>
      <c r="V195" s="1457"/>
      <c r="W195" s="1457"/>
      <c r="X195" s="1457"/>
      <c r="Y195" s="1457"/>
    </row>
    <row r="196" spans="1:25" x14ac:dyDescent="0.2">
      <c r="A196" s="2296"/>
      <c r="B196" s="2296"/>
      <c r="C196" s="2296"/>
      <c r="D196" s="2296"/>
      <c r="E196" s="1456"/>
      <c r="I196" s="1447"/>
      <c r="J196" s="1447"/>
      <c r="K196" s="1447"/>
      <c r="L196" s="1447"/>
      <c r="M196" s="1447"/>
      <c r="N196" s="1447"/>
      <c r="O196" s="1447"/>
      <c r="P196" s="1520"/>
      <c r="R196" s="1457"/>
      <c r="S196" s="1457"/>
      <c r="T196" s="1457"/>
      <c r="U196" s="1457"/>
      <c r="V196" s="1457"/>
      <c r="W196" s="1457"/>
      <c r="X196" s="1457"/>
      <c r="Y196" s="1457"/>
    </row>
    <row r="197" spans="1:25" x14ac:dyDescent="0.2">
      <c r="A197" s="2296"/>
      <c r="B197" s="2296"/>
      <c r="C197" s="2296"/>
      <c r="D197" s="2296"/>
      <c r="E197" s="1456"/>
      <c r="I197" s="1447"/>
      <c r="J197" s="1447"/>
      <c r="K197" s="1447"/>
      <c r="L197" s="1447"/>
      <c r="M197" s="1447"/>
      <c r="N197" s="1447"/>
      <c r="O197" s="1447"/>
      <c r="P197" s="1520"/>
      <c r="R197" s="1457"/>
      <c r="S197" s="1457"/>
      <c r="T197" s="1457"/>
      <c r="U197" s="1457"/>
      <c r="V197" s="1457"/>
      <c r="W197" s="1457"/>
      <c r="X197" s="1457"/>
      <c r="Y197" s="1457"/>
    </row>
    <row r="198" spans="1:25" x14ac:dyDescent="0.2">
      <c r="A198" s="2296"/>
      <c r="B198" s="2296"/>
      <c r="C198" s="2296"/>
      <c r="D198" s="2296"/>
      <c r="E198" s="1456"/>
      <c r="I198" s="1447"/>
      <c r="J198" s="1447"/>
      <c r="K198" s="1447"/>
      <c r="L198" s="1447"/>
      <c r="M198" s="1447"/>
      <c r="N198" s="1447"/>
      <c r="O198" s="1447"/>
      <c r="P198" s="1520"/>
      <c r="R198" s="1457"/>
      <c r="S198" s="1457"/>
      <c r="T198" s="1457"/>
      <c r="U198" s="1457"/>
      <c r="V198" s="1457"/>
      <c r="W198" s="1457"/>
      <c r="X198" s="1457"/>
      <c r="Y198" s="1457"/>
    </row>
    <row r="199" spans="1:25" x14ac:dyDescent="0.2">
      <c r="A199" s="2296"/>
      <c r="B199" s="2296"/>
      <c r="C199" s="2296"/>
      <c r="D199" s="2296"/>
      <c r="E199" s="1456"/>
      <c r="I199" s="1447"/>
      <c r="J199" s="1447"/>
      <c r="K199" s="1447"/>
      <c r="L199" s="1447"/>
      <c r="M199" s="1447"/>
      <c r="N199" s="1447"/>
      <c r="O199" s="1447"/>
      <c r="P199" s="1520"/>
      <c r="R199" s="1457"/>
      <c r="S199" s="1457"/>
      <c r="T199" s="1457"/>
      <c r="U199" s="1457"/>
      <c r="V199" s="1457"/>
      <c r="W199" s="1457"/>
      <c r="X199" s="1457"/>
      <c r="Y199" s="1457"/>
    </row>
    <row r="200" spans="1:25" x14ac:dyDescent="0.2">
      <c r="A200" s="2296"/>
      <c r="B200" s="2296"/>
      <c r="C200" s="2296"/>
      <c r="D200" s="2296"/>
      <c r="E200" s="1456"/>
      <c r="I200" s="1447"/>
      <c r="J200" s="1447"/>
      <c r="K200" s="1447"/>
      <c r="L200" s="1447"/>
      <c r="M200" s="1447"/>
      <c r="N200" s="1447"/>
      <c r="O200" s="1447"/>
      <c r="P200" s="1520"/>
      <c r="R200" s="1457"/>
      <c r="S200" s="1457"/>
      <c r="T200" s="1457"/>
      <c r="U200" s="1457"/>
      <c r="V200" s="1457"/>
      <c r="W200" s="1457"/>
      <c r="X200" s="1457"/>
      <c r="Y200" s="1457"/>
    </row>
    <row r="201" spans="1:25" x14ac:dyDescent="0.2">
      <c r="A201" s="2296"/>
      <c r="B201" s="2296"/>
      <c r="C201" s="2296"/>
      <c r="D201" s="2296"/>
      <c r="E201" s="1456"/>
      <c r="I201" s="1447"/>
      <c r="J201" s="1447"/>
      <c r="K201" s="1447"/>
      <c r="L201" s="1447"/>
      <c r="M201" s="1447"/>
      <c r="N201" s="1447"/>
      <c r="O201" s="1447"/>
      <c r="P201" s="1520"/>
      <c r="R201" s="1457"/>
      <c r="S201" s="1457"/>
      <c r="T201" s="1457"/>
      <c r="U201" s="1457"/>
      <c r="V201" s="1457"/>
      <c r="W201" s="1457"/>
      <c r="X201" s="1457"/>
      <c r="Y201" s="1457"/>
    </row>
    <row r="202" spans="1:25" x14ac:dyDescent="0.2">
      <c r="A202" s="2296"/>
      <c r="B202" s="2296"/>
      <c r="C202" s="2296"/>
      <c r="D202" s="2296"/>
      <c r="E202" s="1456"/>
      <c r="I202" s="1447"/>
      <c r="J202" s="1447"/>
      <c r="K202" s="1447"/>
      <c r="L202" s="1447"/>
      <c r="M202" s="1447"/>
      <c r="N202" s="1447"/>
      <c r="O202" s="1447"/>
      <c r="P202" s="1520"/>
      <c r="R202" s="1457"/>
      <c r="S202" s="1457"/>
      <c r="T202" s="1457"/>
      <c r="U202" s="1457"/>
      <c r="V202" s="1457"/>
      <c r="W202" s="1457"/>
      <c r="X202" s="1457"/>
      <c r="Y202" s="1457"/>
    </row>
    <row r="203" spans="1:25" x14ac:dyDescent="0.2">
      <c r="A203" s="2296"/>
      <c r="B203" s="2296"/>
      <c r="C203" s="2296"/>
      <c r="D203" s="2296"/>
      <c r="E203" s="1456"/>
      <c r="I203" s="1447"/>
      <c r="J203" s="1447"/>
      <c r="K203" s="1447"/>
      <c r="L203" s="1447"/>
      <c r="M203" s="1447"/>
      <c r="N203" s="1447"/>
      <c r="O203" s="1447"/>
      <c r="P203" s="1520"/>
      <c r="R203" s="1457"/>
      <c r="S203" s="1457"/>
      <c r="T203" s="1457"/>
      <c r="U203" s="1457"/>
      <c r="V203" s="1457"/>
      <c r="W203" s="1457"/>
      <c r="X203" s="1457"/>
      <c r="Y203" s="1457"/>
    </row>
    <row r="204" spans="1:25" x14ac:dyDescent="0.2">
      <c r="A204" s="2296"/>
      <c r="B204" s="2296"/>
      <c r="C204" s="2296"/>
      <c r="D204" s="2296"/>
      <c r="E204" s="1456"/>
      <c r="I204" s="1447"/>
      <c r="J204" s="1447"/>
      <c r="K204" s="1447"/>
      <c r="L204" s="1447"/>
      <c r="M204" s="1447"/>
      <c r="N204" s="1447"/>
      <c r="O204" s="1447"/>
      <c r="P204" s="1520"/>
      <c r="R204" s="1457"/>
      <c r="S204" s="1457"/>
      <c r="T204" s="1457"/>
      <c r="U204" s="1457"/>
      <c r="V204" s="1457"/>
      <c r="W204" s="1457"/>
      <c r="X204" s="1457"/>
      <c r="Y204" s="1457"/>
    </row>
    <row r="205" spans="1:25" x14ac:dyDescent="0.2">
      <c r="A205" s="2296"/>
      <c r="B205" s="2296"/>
      <c r="C205" s="2296"/>
      <c r="D205" s="2296"/>
      <c r="E205" s="1456"/>
      <c r="I205" s="1447"/>
      <c r="J205" s="1447"/>
      <c r="K205" s="1447"/>
      <c r="L205" s="1447"/>
      <c r="M205" s="1447"/>
      <c r="N205" s="1447"/>
      <c r="O205" s="1447"/>
      <c r="P205" s="1520"/>
      <c r="R205" s="1457"/>
      <c r="S205" s="1457"/>
      <c r="T205" s="1457"/>
      <c r="U205" s="1457"/>
      <c r="V205" s="1457"/>
      <c r="W205" s="1457"/>
      <c r="X205" s="1457"/>
      <c r="Y205" s="1457"/>
    </row>
    <row r="206" spans="1:25" x14ac:dyDescent="0.2">
      <c r="A206" s="2296"/>
      <c r="B206" s="2296"/>
      <c r="C206" s="2296"/>
      <c r="D206" s="2296"/>
      <c r="E206" s="1456"/>
      <c r="I206" s="1447"/>
      <c r="J206" s="1447"/>
      <c r="K206" s="1447"/>
      <c r="L206" s="1447"/>
      <c r="M206" s="1447"/>
      <c r="N206" s="1447"/>
      <c r="O206" s="1447"/>
      <c r="P206" s="1520"/>
      <c r="R206" s="1457"/>
      <c r="S206" s="1457"/>
      <c r="T206" s="1457"/>
      <c r="U206" s="1457"/>
      <c r="V206" s="1457"/>
      <c r="W206" s="1457"/>
      <c r="X206" s="1457"/>
      <c r="Y206" s="1457"/>
    </row>
    <row r="207" spans="1:25" x14ac:dyDescent="0.2">
      <c r="A207" s="2296"/>
      <c r="B207" s="2296"/>
      <c r="C207" s="2296"/>
      <c r="D207" s="2296"/>
      <c r="E207" s="1456"/>
      <c r="I207" s="1447"/>
      <c r="J207" s="1447"/>
      <c r="K207" s="1447"/>
      <c r="L207" s="1447"/>
      <c r="M207" s="1447"/>
      <c r="N207" s="1447"/>
      <c r="O207" s="1447"/>
      <c r="P207" s="1520"/>
      <c r="R207" s="1457"/>
      <c r="S207" s="1457"/>
      <c r="T207" s="1457"/>
      <c r="U207" s="1457"/>
      <c r="V207" s="1457"/>
      <c r="W207" s="1457"/>
      <c r="X207" s="1457"/>
      <c r="Y207" s="1457"/>
    </row>
    <row r="208" spans="1:25" x14ac:dyDescent="0.2">
      <c r="A208" s="2296"/>
      <c r="B208" s="2296"/>
      <c r="C208" s="2296"/>
      <c r="D208" s="2296"/>
      <c r="E208" s="1456"/>
      <c r="I208" s="1447"/>
      <c r="J208" s="1447"/>
      <c r="K208" s="1447"/>
      <c r="L208" s="1447"/>
      <c r="M208" s="1447"/>
      <c r="N208" s="1447"/>
      <c r="O208" s="1447"/>
      <c r="P208" s="1520"/>
      <c r="R208" s="1457"/>
      <c r="S208" s="1457"/>
      <c r="T208" s="1457"/>
      <c r="U208" s="1457"/>
      <c r="V208" s="1457"/>
      <c r="W208" s="1457"/>
      <c r="X208" s="1457"/>
      <c r="Y208" s="1457"/>
    </row>
    <row r="209" spans="1:25" x14ac:dyDescent="0.2">
      <c r="A209" s="2296"/>
      <c r="B209" s="2296"/>
      <c r="C209" s="2296"/>
      <c r="D209" s="2296"/>
      <c r="E209" s="1456"/>
      <c r="I209" s="1447"/>
      <c r="J209" s="1447"/>
      <c r="K209" s="1447"/>
      <c r="L209" s="1447"/>
      <c r="M209" s="1447"/>
      <c r="N209" s="1447"/>
      <c r="O209" s="1447"/>
      <c r="P209" s="1520"/>
      <c r="R209" s="1457"/>
      <c r="S209" s="1457"/>
      <c r="T209" s="1457"/>
      <c r="U209" s="1457"/>
      <c r="V209" s="1457"/>
      <c r="W209" s="1457"/>
      <c r="X209" s="1457"/>
      <c r="Y209" s="1457"/>
    </row>
    <row r="210" spans="1:25" x14ac:dyDescent="0.2">
      <c r="A210" s="2296"/>
      <c r="B210" s="2296"/>
      <c r="C210" s="2296"/>
      <c r="D210" s="2296"/>
      <c r="E210" s="1456"/>
      <c r="I210" s="1447"/>
      <c r="J210" s="1447"/>
      <c r="K210" s="1447"/>
      <c r="L210" s="1447"/>
      <c r="M210" s="1447"/>
      <c r="N210" s="1447"/>
      <c r="O210" s="1447"/>
      <c r="P210" s="1520"/>
      <c r="R210" s="1457"/>
      <c r="S210" s="1457"/>
      <c r="T210" s="1457"/>
      <c r="U210" s="1457"/>
      <c r="V210" s="1457"/>
      <c r="W210" s="1457"/>
      <c r="X210" s="1457"/>
      <c r="Y210" s="1457"/>
    </row>
    <row r="211" spans="1:25" x14ac:dyDescent="0.2">
      <c r="A211" s="2296"/>
      <c r="B211" s="2296"/>
      <c r="C211" s="2296"/>
      <c r="D211" s="2296"/>
      <c r="E211" s="1456"/>
      <c r="I211" s="1447"/>
      <c r="J211" s="1447"/>
      <c r="K211" s="1447"/>
      <c r="L211" s="1447"/>
      <c r="M211" s="1447"/>
      <c r="N211" s="1447"/>
      <c r="O211" s="1447"/>
      <c r="P211" s="1520"/>
      <c r="R211" s="1457"/>
      <c r="S211" s="1457"/>
      <c r="T211" s="1457"/>
      <c r="U211" s="1457"/>
      <c r="V211" s="1457"/>
      <c r="W211" s="1457"/>
      <c r="X211" s="1457"/>
      <c r="Y211" s="1457"/>
    </row>
    <row r="212" spans="1:25" x14ac:dyDescent="0.2">
      <c r="A212" s="2296"/>
      <c r="B212" s="2296"/>
      <c r="C212" s="2296"/>
      <c r="D212" s="2296"/>
      <c r="E212" s="1456"/>
      <c r="I212" s="1447"/>
      <c r="J212" s="1447"/>
      <c r="K212" s="1447"/>
      <c r="L212" s="1447"/>
      <c r="M212" s="1447"/>
      <c r="N212" s="1447"/>
      <c r="O212" s="1447"/>
      <c r="P212" s="1520"/>
      <c r="R212" s="1457"/>
      <c r="S212" s="1457"/>
      <c r="T212" s="1457"/>
      <c r="U212" s="1457"/>
      <c r="V212" s="1457"/>
      <c r="W212" s="1457"/>
      <c r="X212" s="1457"/>
      <c r="Y212" s="1457"/>
    </row>
    <row r="213" spans="1:25" x14ac:dyDescent="0.2">
      <c r="A213" s="2296"/>
      <c r="B213" s="2296"/>
      <c r="C213" s="2296"/>
      <c r="D213" s="2296"/>
      <c r="E213" s="1456"/>
      <c r="I213" s="1447"/>
      <c r="J213" s="1447"/>
      <c r="K213" s="1447"/>
      <c r="L213" s="1447"/>
      <c r="M213" s="1447"/>
      <c r="N213" s="1447"/>
      <c r="O213" s="1447"/>
      <c r="P213" s="1520"/>
      <c r="R213" s="1457"/>
      <c r="S213" s="1457"/>
      <c r="T213" s="1457"/>
      <c r="U213" s="1457"/>
      <c r="V213" s="1457"/>
      <c r="W213" s="1457"/>
      <c r="X213" s="1457"/>
      <c r="Y213" s="1457"/>
    </row>
    <row r="214" spans="1:25" x14ac:dyDescent="0.2">
      <c r="A214" s="2296"/>
      <c r="B214" s="2296"/>
      <c r="C214" s="2296"/>
      <c r="D214" s="2296"/>
      <c r="E214" s="1456"/>
      <c r="I214" s="1447"/>
      <c r="J214" s="1447"/>
      <c r="K214" s="1447"/>
      <c r="L214" s="1447"/>
      <c r="M214" s="1447"/>
      <c r="N214" s="1447"/>
      <c r="O214" s="1447"/>
      <c r="P214" s="1520"/>
      <c r="R214" s="1457"/>
      <c r="S214" s="1457"/>
      <c r="T214" s="1457"/>
      <c r="U214" s="1457"/>
      <c r="V214" s="1457"/>
      <c r="W214" s="1457"/>
      <c r="X214" s="1457"/>
      <c r="Y214" s="1457"/>
    </row>
    <row r="215" spans="1:25" x14ac:dyDescent="0.2">
      <c r="A215" s="2296"/>
      <c r="B215" s="2296"/>
      <c r="C215" s="2296"/>
      <c r="D215" s="2296"/>
      <c r="E215" s="1456"/>
      <c r="I215" s="1447"/>
      <c r="J215" s="1447"/>
      <c r="K215" s="1447"/>
      <c r="L215" s="1447"/>
      <c r="M215" s="1447"/>
      <c r="N215" s="1447"/>
      <c r="O215" s="1447"/>
      <c r="P215" s="1520"/>
      <c r="R215" s="1457"/>
      <c r="S215" s="1457"/>
      <c r="T215" s="1457"/>
      <c r="U215" s="1457"/>
      <c r="V215" s="1457"/>
      <c r="W215" s="1457"/>
      <c r="X215" s="1457"/>
      <c r="Y215" s="1457"/>
    </row>
    <row r="216" spans="1:25" x14ac:dyDescent="0.2">
      <c r="A216" s="2296"/>
      <c r="B216" s="2296"/>
      <c r="C216" s="2296"/>
      <c r="D216" s="2296"/>
      <c r="E216" s="1456"/>
      <c r="I216" s="1447"/>
      <c r="J216" s="1447"/>
      <c r="K216" s="1447"/>
      <c r="L216" s="1447"/>
      <c r="M216" s="1447"/>
      <c r="N216" s="1447"/>
      <c r="O216" s="1447"/>
      <c r="P216" s="1520"/>
      <c r="R216" s="1457"/>
      <c r="S216" s="1457"/>
      <c r="T216" s="1457"/>
      <c r="U216" s="1457"/>
      <c r="V216" s="1457"/>
      <c r="W216" s="1457"/>
      <c r="X216" s="1457"/>
      <c r="Y216" s="1457"/>
    </row>
    <row r="217" spans="1:25" x14ac:dyDescent="0.2">
      <c r="A217" s="2296"/>
      <c r="B217" s="2296"/>
      <c r="C217" s="2296"/>
      <c r="D217" s="2296"/>
      <c r="E217" s="1456"/>
      <c r="I217" s="1447"/>
      <c r="J217" s="1447"/>
      <c r="K217" s="1447"/>
      <c r="L217" s="1447"/>
      <c r="M217" s="1447"/>
      <c r="N217" s="1447"/>
      <c r="O217" s="1447"/>
      <c r="P217" s="1520"/>
      <c r="R217" s="1457"/>
      <c r="S217" s="1457"/>
      <c r="T217" s="1457"/>
      <c r="U217" s="1457"/>
      <c r="V217" s="1457"/>
      <c r="W217" s="1457"/>
      <c r="X217" s="1457"/>
      <c r="Y217" s="1457"/>
    </row>
    <row r="218" spans="1:25" x14ac:dyDescent="0.2">
      <c r="A218" s="2296"/>
      <c r="B218" s="2296"/>
      <c r="C218" s="2296"/>
      <c r="D218" s="2296"/>
      <c r="E218" s="1456"/>
      <c r="I218" s="1447"/>
      <c r="J218" s="1447"/>
      <c r="K218" s="1447"/>
      <c r="L218" s="1447"/>
      <c r="M218" s="1447"/>
      <c r="N218" s="1447"/>
      <c r="O218" s="1447"/>
      <c r="P218" s="1520"/>
      <c r="R218" s="1457"/>
      <c r="S218" s="1457"/>
      <c r="T218" s="1457"/>
      <c r="U218" s="1457"/>
      <c r="V218" s="1457"/>
      <c r="W218" s="1457"/>
      <c r="X218" s="1457"/>
      <c r="Y218" s="1457"/>
    </row>
    <row r="219" spans="1:25" x14ac:dyDescent="0.2">
      <c r="A219" s="2296"/>
      <c r="B219" s="2296"/>
      <c r="C219" s="2296"/>
      <c r="D219" s="2296"/>
      <c r="E219" s="1456"/>
      <c r="I219" s="1447"/>
      <c r="J219" s="1447"/>
      <c r="K219" s="1447"/>
      <c r="L219" s="1447"/>
      <c r="M219" s="1447"/>
      <c r="N219" s="1447"/>
      <c r="O219" s="1447"/>
      <c r="P219" s="1520"/>
      <c r="R219" s="1457"/>
      <c r="S219" s="1457"/>
      <c r="T219" s="1457"/>
      <c r="U219" s="1457"/>
      <c r="V219" s="1457"/>
      <c r="W219" s="1457"/>
      <c r="X219" s="1457"/>
      <c r="Y219" s="1457"/>
    </row>
    <row r="220" spans="1:25" x14ac:dyDescent="0.2">
      <c r="A220" s="2296"/>
      <c r="B220" s="2296"/>
      <c r="C220" s="2296"/>
      <c r="D220" s="2296"/>
      <c r="E220" s="1456"/>
      <c r="I220" s="1447"/>
      <c r="J220" s="1447"/>
      <c r="K220" s="1447"/>
      <c r="L220" s="1447"/>
      <c r="M220" s="1447"/>
      <c r="N220" s="1447"/>
      <c r="O220" s="1447"/>
      <c r="P220" s="1520"/>
      <c r="R220" s="1457"/>
      <c r="S220" s="1457"/>
      <c r="T220" s="1457"/>
      <c r="U220" s="1457"/>
      <c r="V220" s="1457"/>
      <c r="W220" s="1457"/>
      <c r="X220" s="1457"/>
      <c r="Y220" s="1457"/>
    </row>
    <row r="221" spans="1:25" x14ac:dyDescent="0.2">
      <c r="A221" s="2296"/>
      <c r="B221" s="2296"/>
      <c r="C221" s="2296"/>
      <c r="D221" s="2296"/>
      <c r="E221" s="1456"/>
      <c r="I221" s="1447"/>
      <c r="J221" s="1447"/>
      <c r="K221" s="1447"/>
      <c r="L221" s="1447"/>
      <c r="M221" s="1447"/>
      <c r="N221" s="1447"/>
      <c r="O221" s="1447"/>
      <c r="P221" s="1520"/>
      <c r="R221" s="1457"/>
      <c r="S221" s="1457"/>
      <c r="T221" s="1457"/>
      <c r="U221" s="1457"/>
      <c r="V221" s="1457"/>
      <c r="W221" s="1457"/>
      <c r="X221" s="1457"/>
      <c r="Y221" s="1457"/>
    </row>
    <row r="222" spans="1:25" x14ac:dyDescent="0.2">
      <c r="A222" s="2296"/>
      <c r="B222" s="2296"/>
      <c r="C222" s="2296"/>
      <c r="D222" s="2296"/>
      <c r="E222" s="1456"/>
      <c r="I222" s="1447"/>
      <c r="J222" s="1447"/>
      <c r="K222" s="1447"/>
      <c r="L222" s="1447"/>
      <c r="M222" s="1447"/>
      <c r="N222" s="1447"/>
      <c r="O222" s="1447"/>
      <c r="P222" s="1520"/>
      <c r="R222" s="1457"/>
      <c r="S222" s="1457"/>
      <c r="T222" s="1457"/>
      <c r="U222" s="1457"/>
      <c r="V222" s="1457"/>
      <c r="W222" s="1457"/>
      <c r="X222" s="1457"/>
      <c r="Y222" s="1457"/>
    </row>
    <row r="223" spans="1:25" x14ac:dyDescent="0.2">
      <c r="A223" s="2296"/>
      <c r="B223" s="2296"/>
      <c r="C223" s="2296"/>
      <c r="D223" s="2296"/>
      <c r="E223" s="1456"/>
      <c r="I223" s="1447"/>
      <c r="J223" s="1447"/>
      <c r="K223" s="1447"/>
      <c r="L223" s="1447"/>
      <c r="M223" s="1447"/>
      <c r="N223" s="1447"/>
      <c r="O223" s="1447"/>
      <c r="P223" s="1520"/>
      <c r="R223" s="1457"/>
      <c r="S223" s="1457"/>
      <c r="T223" s="1457"/>
      <c r="U223" s="1457"/>
      <c r="V223" s="1457"/>
      <c r="W223" s="1457"/>
      <c r="X223" s="1457"/>
      <c r="Y223" s="1457"/>
    </row>
    <row r="224" spans="1:25" x14ac:dyDescent="0.2">
      <c r="A224" s="2296"/>
      <c r="B224" s="2296"/>
      <c r="C224" s="2296"/>
      <c r="D224" s="2296"/>
      <c r="E224" s="1456"/>
      <c r="I224" s="1447"/>
      <c r="J224" s="1447"/>
      <c r="K224" s="1447"/>
      <c r="L224" s="1447"/>
      <c r="M224" s="1447"/>
      <c r="N224" s="1447"/>
      <c r="O224" s="1447"/>
      <c r="P224" s="1520"/>
      <c r="R224" s="1457"/>
      <c r="S224" s="1457"/>
      <c r="T224" s="1457"/>
      <c r="U224" s="1457"/>
      <c r="V224" s="1457"/>
      <c r="W224" s="1457"/>
      <c r="X224" s="1457"/>
      <c r="Y224" s="1457"/>
    </row>
    <row r="225" spans="1:25" x14ac:dyDescent="0.2">
      <c r="A225" s="2296"/>
      <c r="B225" s="2296"/>
      <c r="C225" s="2296"/>
      <c r="D225" s="2296"/>
      <c r="E225" s="1456"/>
      <c r="I225" s="1447"/>
      <c r="J225" s="1447"/>
      <c r="K225" s="1447"/>
      <c r="L225" s="1447"/>
      <c r="M225" s="1447"/>
      <c r="N225" s="1447"/>
      <c r="O225" s="1447"/>
      <c r="P225" s="1520"/>
      <c r="R225" s="1457"/>
      <c r="S225" s="1457"/>
      <c r="T225" s="1457"/>
      <c r="U225" s="1457"/>
      <c r="V225" s="1457"/>
      <c r="W225" s="1457"/>
      <c r="X225" s="1457"/>
      <c r="Y225" s="1457"/>
    </row>
    <row r="226" spans="1:25" x14ac:dyDescent="0.2">
      <c r="A226" s="2296"/>
      <c r="B226" s="2296"/>
      <c r="C226" s="2296"/>
      <c r="D226" s="2296"/>
      <c r="E226" s="1456"/>
      <c r="I226" s="1447"/>
      <c r="J226" s="1447"/>
      <c r="K226" s="1447"/>
      <c r="L226" s="1447"/>
      <c r="M226" s="1447"/>
      <c r="N226" s="1447"/>
      <c r="O226" s="1447"/>
      <c r="P226" s="1520"/>
      <c r="R226" s="1457"/>
      <c r="S226" s="1457"/>
      <c r="T226" s="1457"/>
      <c r="U226" s="1457"/>
      <c r="V226" s="1457"/>
      <c r="W226" s="1457"/>
      <c r="X226" s="1457"/>
      <c r="Y226" s="1457"/>
    </row>
    <row r="227" spans="1:25" x14ac:dyDescent="0.2">
      <c r="A227" s="2296"/>
      <c r="B227" s="2296"/>
      <c r="C227" s="2296"/>
      <c r="D227" s="2296"/>
      <c r="E227" s="1456"/>
      <c r="I227" s="1447"/>
      <c r="J227" s="1447"/>
      <c r="K227" s="1447"/>
      <c r="L227" s="1447"/>
      <c r="M227" s="1447"/>
      <c r="N227" s="1447"/>
      <c r="O227" s="1447"/>
      <c r="P227" s="1520"/>
      <c r="R227" s="1457"/>
      <c r="S227" s="1457"/>
      <c r="T227" s="1457"/>
      <c r="U227" s="1457"/>
      <c r="V227" s="1457"/>
      <c r="W227" s="1457"/>
      <c r="X227" s="1457"/>
      <c r="Y227" s="1457"/>
    </row>
    <row r="228" spans="1:25" x14ac:dyDescent="0.2">
      <c r="A228" s="2296"/>
      <c r="B228" s="2296"/>
      <c r="C228" s="2296"/>
      <c r="D228" s="2296"/>
      <c r="E228" s="1456"/>
      <c r="I228" s="1447"/>
      <c r="J228" s="1447"/>
      <c r="K228" s="1447"/>
      <c r="L228" s="1447"/>
      <c r="M228" s="1447"/>
      <c r="N228" s="1447"/>
      <c r="O228" s="1447"/>
      <c r="P228" s="1520"/>
      <c r="R228" s="1457"/>
      <c r="S228" s="1457"/>
      <c r="T228" s="1457"/>
      <c r="U228" s="1457"/>
      <c r="V228" s="1457"/>
      <c r="W228" s="1457"/>
      <c r="X228" s="1457"/>
      <c r="Y228" s="1457"/>
    </row>
    <row r="229" spans="1:25" x14ac:dyDescent="0.2">
      <c r="A229" s="2296"/>
      <c r="B229" s="2296"/>
      <c r="C229" s="2296"/>
      <c r="D229" s="2296"/>
      <c r="E229" s="1456"/>
      <c r="I229" s="1447"/>
      <c r="J229" s="1447"/>
      <c r="K229" s="1447"/>
      <c r="L229" s="1447"/>
      <c r="M229" s="1447"/>
      <c r="N229" s="1447"/>
      <c r="O229" s="1447"/>
      <c r="P229" s="1520"/>
      <c r="R229" s="1457"/>
      <c r="S229" s="1457"/>
      <c r="T229" s="1457"/>
      <c r="U229" s="1457"/>
      <c r="V229" s="1457"/>
      <c r="W229" s="1457"/>
      <c r="X229" s="1457"/>
      <c r="Y229" s="1457"/>
    </row>
    <row r="230" spans="1:25" x14ac:dyDescent="0.2">
      <c r="A230" s="2296"/>
      <c r="B230" s="2296"/>
      <c r="C230" s="2296"/>
      <c r="D230" s="2296"/>
      <c r="E230" s="1456"/>
      <c r="I230" s="1447"/>
      <c r="J230" s="1447"/>
      <c r="K230" s="1447"/>
      <c r="L230" s="1447"/>
      <c r="M230" s="1447"/>
      <c r="N230" s="1447"/>
      <c r="O230" s="1447"/>
      <c r="P230" s="1520"/>
      <c r="R230" s="1457"/>
      <c r="S230" s="1457"/>
      <c r="T230" s="1457"/>
      <c r="U230" s="1457"/>
      <c r="V230" s="1457"/>
      <c r="W230" s="1457"/>
      <c r="X230" s="1457"/>
      <c r="Y230" s="1457"/>
    </row>
    <row r="231" spans="1:25" x14ac:dyDescent="0.2">
      <c r="A231" s="2296"/>
      <c r="B231" s="2296"/>
      <c r="C231" s="2296"/>
      <c r="D231" s="2296"/>
      <c r="E231" s="1456"/>
      <c r="I231" s="1447"/>
      <c r="J231" s="1447"/>
      <c r="K231" s="1447"/>
      <c r="L231" s="1447"/>
      <c r="M231" s="1447"/>
      <c r="N231" s="1447"/>
      <c r="O231" s="1447"/>
      <c r="P231" s="1520"/>
      <c r="R231" s="1457"/>
      <c r="S231" s="1457"/>
      <c r="T231" s="1457"/>
      <c r="U231" s="1457"/>
      <c r="V231" s="1457"/>
      <c r="W231" s="1457"/>
      <c r="X231" s="1457"/>
      <c r="Y231" s="1457"/>
    </row>
    <row r="232" spans="1:25" x14ac:dyDescent="0.2">
      <c r="A232" s="2296"/>
      <c r="B232" s="2296"/>
      <c r="C232" s="2296"/>
      <c r="D232" s="2296"/>
      <c r="E232" s="1456"/>
      <c r="I232" s="1447"/>
      <c r="J232" s="1447"/>
      <c r="K232" s="1447"/>
      <c r="L232" s="1447"/>
      <c r="M232" s="1447"/>
      <c r="N232" s="1447"/>
      <c r="O232" s="1447"/>
      <c r="P232" s="1520"/>
      <c r="R232" s="1457"/>
      <c r="S232" s="1457"/>
      <c r="T232" s="1457"/>
      <c r="U232" s="1457"/>
      <c r="V232" s="1457"/>
      <c r="W232" s="1457"/>
      <c r="X232" s="1457"/>
      <c r="Y232" s="1457"/>
    </row>
    <row r="233" spans="1:25" x14ac:dyDescent="0.2">
      <c r="A233" s="2296"/>
      <c r="B233" s="2296"/>
      <c r="C233" s="2296"/>
      <c r="D233" s="2296"/>
      <c r="E233" s="1456"/>
      <c r="I233" s="1447"/>
      <c r="J233" s="1447"/>
      <c r="K233" s="1447"/>
      <c r="L233" s="1447"/>
      <c r="M233" s="1447"/>
      <c r="N233" s="1447"/>
      <c r="O233" s="1447"/>
      <c r="P233" s="1520"/>
      <c r="R233" s="1457"/>
      <c r="S233" s="1457"/>
      <c r="T233" s="1457"/>
      <c r="U233" s="1457"/>
      <c r="V233" s="1457"/>
      <c r="W233" s="1457"/>
      <c r="X233" s="1457"/>
      <c r="Y233" s="1457"/>
    </row>
    <row r="234" spans="1:25" x14ac:dyDescent="0.2">
      <c r="A234" s="2296"/>
      <c r="B234" s="2296"/>
      <c r="C234" s="2296"/>
      <c r="D234" s="2296"/>
      <c r="E234" s="1456"/>
      <c r="I234" s="1447"/>
      <c r="J234" s="1447"/>
      <c r="K234" s="1447"/>
      <c r="L234" s="1447"/>
      <c r="M234" s="1447"/>
      <c r="N234" s="1447"/>
      <c r="O234" s="1447"/>
      <c r="P234" s="1520"/>
      <c r="R234" s="1457"/>
      <c r="S234" s="1457"/>
      <c r="T234" s="1457"/>
      <c r="U234" s="1457"/>
      <c r="V234" s="1457"/>
      <c r="W234" s="1457"/>
      <c r="X234" s="1457"/>
      <c r="Y234" s="1457"/>
    </row>
    <row r="235" spans="1:25" x14ac:dyDescent="0.2">
      <c r="A235" s="2296"/>
      <c r="B235" s="2296"/>
      <c r="C235" s="2296"/>
      <c r="D235" s="2296"/>
      <c r="E235" s="1456"/>
      <c r="I235" s="1447"/>
      <c r="J235" s="1447"/>
      <c r="K235" s="1447"/>
      <c r="L235" s="1447"/>
      <c r="M235" s="1447"/>
      <c r="N235" s="1447"/>
      <c r="O235" s="1447"/>
      <c r="P235" s="1520"/>
      <c r="R235" s="1457"/>
      <c r="S235" s="1457"/>
      <c r="T235" s="1457"/>
      <c r="U235" s="1457"/>
      <c r="V235" s="1457"/>
      <c r="W235" s="1457"/>
      <c r="X235" s="1457"/>
      <c r="Y235" s="1457"/>
    </row>
    <row r="236" spans="1:25" x14ac:dyDescent="0.2">
      <c r="A236" s="2296"/>
      <c r="B236" s="2296"/>
      <c r="C236" s="2296"/>
      <c r="D236" s="2296"/>
      <c r="E236" s="1456"/>
      <c r="I236" s="1447"/>
      <c r="J236" s="1447"/>
      <c r="K236" s="1447"/>
      <c r="L236" s="1447"/>
      <c r="M236" s="1447"/>
      <c r="N236" s="1447"/>
      <c r="O236" s="1447"/>
      <c r="P236" s="1520"/>
      <c r="R236" s="1457"/>
      <c r="S236" s="1457"/>
      <c r="T236" s="1457"/>
      <c r="U236" s="1457"/>
      <c r="V236" s="1457"/>
      <c r="W236" s="1457"/>
      <c r="X236" s="1457"/>
      <c r="Y236" s="1457"/>
    </row>
    <row r="237" spans="1:25" x14ac:dyDescent="0.2">
      <c r="A237" s="2296"/>
      <c r="B237" s="2296"/>
      <c r="C237" s="2296"/>
      <c r="D237" s="2296"/>
      <c r="E237" s="1456"/>
      <c r="I237" s="1447"/>
      <c r="J237" s="1447"/>
      <c r="K237" s="1447"/>
      <c r="L237" s="1447"/>
      <c r="M237" s="1447"/>
      <c r="N237" s="1447"/>
      <c r="O237" s="1447"/>
      <c r="P237" s="1520"/>
      <c r="R237" s="1457"/>
      <c r="S237" s="1457"/>
      <c r="T237" s="1457"/>
      <c r="U237" s="1457"/>
      <c r="V237" s="1457"/>
      <c r="W237" s="1457"/>
      <c r="X237" s="1457"/>
      <c r="Y237" s="1457"/>
    </row>
    <row r="238" spans="1:25" x14ac:dyDescent="0.2">
      <c r="A238" s="2296"/>
      <c r="B238" s="2296"/>
      <c r="C238" s="2296"/>
      <c r="D238" s="2296"/>
      <c r="E238" s="1456"/>
      <c r="I238" s="1447"/>
      <c r="J238" s="1447"/>
      <c r="K238" s="1447"/>
      <c r="L238" s="1447"/>
      <c r="M238" s="1447"/>
      <c r="N238" s="1447"/>
      <c r="O238" s="1447"/>
      <c r="P238" s="1520"/>
      <c r="R238" s="1457"/>
      <c r="S238" s="1457"/>
      <c r="T238" s="1457"/>
      <c r="U238" s="1457"/>
      <c r="V238" s="1457"/>
      <c r="W238" s="1457"/>
      <c r="X238" s="1457"/>
      <c r="Y238" s="1457"/>
    </row>
    <row r="239" spans="1:25" x14ac:dyDescent="0.2">
      <c r="A239" s="2296"/>
      <c r="B239" s="2296"/>
      <c r="C239" s="2296"/>
      <c r="D239" s="2296"/>
      <c r="E239" s="1456"/>
      <c r="I239" s="1447"/>
      <c r="J239" s="1447"/>
      <c r="K239" s="1447"/>
      <c r="L239" s="1447"/>
      <c r="M239" s="1447"/>
      <c r="N239" s="1447"/>
      <c r="O239" s="1447"/>
      <c r="P239" s="1520"/>
      <c r="R239" s="1457"/>
      <c r="S239" s="1457"/>
      <c r="T239" s="1457"/>
      <c r="U239" s="1457"/>
      <c r="V239" s="1457"/>
      <c r="W239" s="1457"/>
      <c r="X239" s="1457"/>
      <c r="Y239" s="1457"/>
    </row>
    <row r="240" spans="1:25" x14ac:dyDescent="0.2">
      <c r="A240" s="2296"/>
      <c r="B240" s="2296"/>
      <c r="C240" s="2296"/>
      <c r="D240" s="2296"/>
      <c r="E240" s="1456"/>
      <c r="I240" s="1447"/>
      <c r="J240" s="1447"/>
      <c r="K240" s="1447"/>
      <c r="L240" s="1447"/>
      <c r="M240" s="1447"/>
      <c r="N240" s="1447"/>
      <c r="O240" s="1447"/>
      <c r="P240" s="1520"/>
      <c r="R240" s="1457"/>
      <c r="S240" s="1457"/>
      <c r="T240" s="1457"/>
      <c r="U240" s="1457"/>
      <c r="V240" s="1457"/>
      <c r="W240" s="1457"/>
      <c r="X240" s="1457"/>
      <c r="Y240" s="1457"/>
    </row>
    <row r="241" spans="1:25" x14ac:dyDescent="0.2">
      <c r="A241" s="2296"/>
      <c r="B241" s="2296"/>
      <c r="C241" s="2296"/>
      <c r="D241" s="2296"/>
      <c r="E241" s="1456"/>
      <c r="I241" s="1447"/>
      <c r="J241" s="1447"/>
      <c r="K241" s="1447"/>
      <c r="L241" s="1447"/>
      <c r="M241" s="1447"/>
      <c r="N241" s="1447"/>
      <c r="O241" s="1447"/>
      <c r="P241" s="1520"/>
      <c r="R241" s="1457"/>
      <c r="S241" s="1457"/>
      <c r="T241" s="1457"/>
      <c r="U241" s="1457"/>
      <c r="V241" s="1457"/>
      <c r="W241" s="1457"/>
      <c r="X241" s="1457"/>
      <c r="Y241" s="1457"/>
    </row>
    <row r="242" spans="1:25" x14ac:dyDescent="0.2">
      <c r="A242" s="2296"/>
      <c r="B242" s="2296"/>
      <c r="C242" s="2296"/>
      <c r="D242" s="2296"/>
      <c r="E242" s="1456"/>
      <c r="I242" s="1447"/>
      <c r="J242" s="1447"/>
      <c r="K242" s="1447"/>
      <c r="L242" s="1447"/>
      <c r="M242" s="1447"/>
      <c r="N242" s="1447"/>
      <c r="O242" s="1447"/>
      <c r="P242" s="1520"/>
      <c r="R242" s="1457"/>
      <c r="S242" s="1457"/>
      <c r="T242" s="1457"/>
      <c r="U242" s="1457"/>
      <c r="V242" s="1457"/>
      <c r="W242" s="1457"/>
      <c r="X242" s="1457"/>
      <c r="Y242" s="1457"/>
    </row>
    <row r="243" spans="1:25" x14ac:dyDescent="0.2">
      <c r="A243" s="2296"/>
      <c r="B243" s="2296"/>
      <c r="C243" s="2296"/>
      <c r="D243" s="2296"/>
      <c r="E243" s="1456"/>
      <c r="I243" s="1447"/>
      <c r="J243" s="1447"/>
      <c r="K243" s="1447"/>
      <c r="L243" s="1447"/>
      <c r="M243" s="1447"/>
      <c r="N243" s="1447"/>
      <c r="O243" s="1447"/>
      <c r="P243" s="1520"/>
      <c r="R243" s="1457"/>
      <c r="S243" s="1457"/>
      <c r="T243" s="1457"/>
      <c r="U243" s="1457"/>
      <c r="V243" s="1457"/>
      <c r="W243" s="1457"/>
      <c r="X243" s="1457"/>
      <c r="Y243" s="1457"/>
    </row>
    <row r="244" spans="1:25" x14ac:dyDescent="0.2">
      <c r="A244" s="2296"/>
      <c r="B244" s="2296"/>
      <c r="C244" s="2296"/>
      <c r="D244" s="2296"/>
      <c r="E244" s="1456"/>
      <c r="I244" s="1447"/>
      <c r="J244" s="1447"/>
      <c r="K244" s="1447"/>
      <c r="L244" s="1447"/>
      <c r="M244" s="1447"/>
      <c r="N244" s="1447"/>
      <c r="O244" s="1447"/>
      <c r="P244" s="1520"/>
      <c r="R244" s="1457"/>
      <c r="S244" s="1457"/>
      <c r="T244" s="1457"/>
      <c r="U244" s="1457"/>
      <c r="V244" s="1457"/>
      <c r="W244" s="1457"/>
      <c r="X244" s="1457"/>
      <c r="Y244" s="1457"/>
    </row>
    <row r="245" spans="1:25" x14ac:dyDescent="0.2">
      <c r="A245" s="2296"/>
      <c r="B245" s="2296"/>
      <c r="C245" s="2296"/>
      <c r="D245" s="2296"/>
      <c r="E245" s="1456"/>
      <c r="I245" s="1447"/>
      <c r="J245" s="1447"/>
      <c r="K245" s="1447"/>
      <c r="L245" s="1447"/>
      <c r="M245" s="1447"/>
      <c r="N245" s="1447"/>
      <c r="O245" s="1447"/>
      <c r="P245" s="1520"/>
      <c r="R245" s="1457"/>
      <c r="S245" s="1457"/>
      <c r="T245" s="1457"/>
      <c r="U245" s="1457"/>
      <c r="V245" s="1457"/>
      <c r="W245" s="1457"/>
      <c r="X245" s="1457"/>
      <c r="Y245" s="1457"/>
    </row>
    <row r="246" spans="1:25" x14ac:dyDescent="0.2">
      <c r="A246" s="2296"/>
      <c r="B246" s="2296"/>
      <c r="C246" s="2296"/>
      <c r="D246" s="2296"/>
      <c r="E246" s="1456"/>
      <c r="I246" s="1447"/>
      <c r="J246" s="1447"/>
      <c r="K246" s="1447"/>
      <c r="L246" s="1447"/>
      <c r="M246" s="1447"/>
      <c r="N246" s="1447"/>
      <c r="O246" s="1447"/>
      <c r="P246" s="1520"/>
      <c r="R246" s="1457"/>
      <c r="S246" s="1457"/>
      <c r="T246" s="1457"/>
      <c r="U246" s="1457"/>
      <c r="V246" s="1457"/>
      <c r="W246" s="1457"/>
      <c r="X246" s="1457"/>
      <c r="Y246" s="1457"/>
    </row>
    <row r="247" spans="1:25" x14ac:dyDescent="0.2">
      <c r="A247" s="2296"/>
      <c r="B247" s="2296"/>
      <c r="C247" s="2296"/>
      <c r="D247" s="2296"/>
      <c r="E247" s="1456"/>
      <c r="I247" s="1447"/>
      <c r="J247" s="1447"/>
      <c r="K247" s="1447"/>
      <c r="L247" s="1447"/>
      <c r="M247" s="1447"/>
      <c r="N247" s="1447"/>
      <c r="O247" s="1447"/>
      <c r="P247" s="1520"/>
      <c r="R247" s="1457"/>
      <c r="S247" s="1457"/>
      <c r="T247" s="1457"/>
      <c r="U247" s="1457"/>
      <c r="V247" s="1457"/>
      <c r="W247" s="1457"/>
      <c r="X247" s="1457"/>
      <c r="Y247" s="1457"/>
    </row>
    <row r="248" spans="1:25" x14ac:dyDescent="0.2">
      <c r="A248" s="2296"/>
      <c r="B248" s="2296"/>
      <c r="C248" s="2296"/>
      <c r="D248" s="2296"/>
      <c r="E248" s="1456"/>
      <c r="I248" s="1447"/>
      <c r="J248" s="1447"/>
      <c r="K248" s="1447"/>
      <c r="L248" s="1447"/>
      <c r="M248" s="1447"/>
      <c r="N248" s="1447"/>
      <c r="O248" s="1447"/>
      <c r="P248" s="1520"/>
      <c r="R248" s="1457"/>
      <c r="S248" s="1457"/>
      <c r="T248" s="1457"/>
      <c r="U248" s="1457"/>
      <c r="V248" s="1457"/>
      <c r="W248" s="1457"/>
      <c r="X248" s="1457"/>
      <c r="Y248" s="1457"/>
    </row>
    <row r="249" spans="1:25" x14ac:dyDescent="0.2">
      <c r="A249" s="2296"/>
      <c r="B249" s="2296"/>
      <c r="C249" s="2296"/>
      <c r="D249" s="2296"/>
      <c r="E249" s="1456"/>
      <c r="I249" s="1447"/>
      <c r="J249" s="1447"/>
      <c r="K249" s="1447"/>
      <c r="L249" s="1447"/>
      <c r="M249" s="1447"/>
      <c r="N249" s="1447"/>
      <c r="O249" s="1447"/>
      <c r="P249" s="1520"/>
      <c r="R249" s="1457"/>
      <c r="S249" s="1457"/>
      <c r="T249" s="1457"/>
      <c r="U249" s="1457"/>
      <c r="V249" s="1457"/>
      <c r="W249" s="1457"/>
      <c r="X249" s="1457"/>
      <c r="Y249" s="1457"/>
    </row>
    <row r="250" spans="1:25" x14ac:dyDescent="0.2">
      <c r="A250" s="2296"/>
      <c r="B250" s="2296"/>
      <c r="C250" s="2296"/>
      <c r="D250" s="2296"/>
      <c r="E250" s="1456"/>
      <c r="I250" s="1447"/>
      <c r="J250" s="1447"/>
      <c r="K250" s="1447"/>
      <c r="L250" s="1447"/>
      <c r="M250" s="1447"/>
      <c r="N250" s="1447"/>
      <c r="O250" s="1447"/>
      <c r="P250" s="1520"/>
      <c r="R250" s="1457"/>
      <c r="S250" s="1457"/>
      <c r="T250" s="1457"/>
      <c r="U250" s="1457"/>
      <c r="V250" s="1457"/>
      <c r="W250" s="1457"/>
      <c r="X250" s="1457"/>
      <c r="Y250" s="1457"/>
    </row>
    <row r="251" spans="1:25" x14ac:dyDescent="0.2">
      <c r="A251" s="2296"/>
      <c r="B251" s="2296"/>
      <c r="C251" s="2296"/>
      <c r="D251" s="2296"/>
      <c r="E251" s="1456"/>
      <c r="I251" s="1447"/>
      <c r="J251" s="1447"/>
      <c r="K251" s="1447"/>
      <c r="L251" s="1447"/>
      <c r="M251" s="1447"/>
      <c r="N251" s="1447"/>
      <c r="O251" s="1447"/>
      <c r="P251" s="1520"/>
      <c r="R251" s="1457"/>
      <c r="S251" s="1457"/>
      <c r="T251" s="1457"/>
      <c r="U251" s="1457"/>
      <c r="V251" s="1457"/>
      <c r="W251" s="1457"/>
      <c r="X251" s="1457"/>
      <c r="Y251" s="1457"/>
    </row>
    <row r="252" spans="1:25" x14ac:dyDescent="0.2">
      <c r="A252" s="2296"/>
      <c r="B252" s="2296"/>
      <c r="C252" s="2296"/>
      <c r="D252" s="2296"/>
      <c r="E252" s="1456"/>
      <c r="I252" s="1447"/>
      <c r="J252" s="1447"/>
      <c r="K252" s="1447"/>
      <c r="L252" s="1447"/>
      <c r="M252" s="1447"/>
      <c r="N252" s="1447"/>
      <c r="O252" s="1447"/>
      <c r="P252" s="1520"/>
      <c r="R252" s="1457"/>
      <c r="S252" s="1457"/>
      <c r="T252" s="1457"/>
      <c r="U252" s="1457"/>
      <c r="V252" s="1457"/>
      <c r="W252" s="1457"/>
      <c r="X252" s="1457"/>
      <c r="Y252" s="1457"/>
    </row>
    <row r="253" spans="1:25" x14ac:dyDescent="0.2">
      <c r="A253" s="2296"/>
      <c r="B253" s="2296"/>
      <c r="C253" s="2296"/>
      <c r="D253" s="2296"/>
      <c r="E253" s="1456"/>
      <c r="I253" s="1447"/>
      <c r="J253" s="1447"/>
      <c r="K253" s="1447"/>
      <c r="L253" s="1447"/>
      <c r="M253" s="1447"/>
      <c r="N253" s="1447"/>
      <c r="O253" s="1447"/>
      <c r="P253" s="1520"/>
      <c r="R253" s="1457"/>
      <c r="S253" s="1457"/>
      <c r="T253" s="1457"/>
      <c r="U253" s="1457"/>
      <c r="V253" s="1457"/>
      <c r="W253" s="1457"/>
      <c r="X253" s="1457"/>
      <c r="Y253" s="1457"/>
    </row>
    <row r="254" spans="1:25" x14ac:dyDescent="0.2">
      <c r="A254" s="2296"/>
      <c r="B254" s="2296"/>
      <c r="C254" s="2296"/>
      <c r="D254" s="2296"/>
      <c r="E254" s="1456"/>
      <c r="I254" s="1447"/>
      <c r="J254" s="1447"/>
      <c r="K254" s="1447"/>
      <c r="L254" s="1447"/>
      <c r="M254" s="1447"/>
      <c r="N254" s="1447"/>
      <c r="O254" s="1447"/>
      <c r="P254" s="1520"/>
      <c r="R254" s="1457"/>
      <c r="S254" s="1457"/>
      <c r="T254" s="1457"/>
      <c r="U254" s="1457"/>
      <c r="V254" s="1457"/>
      <c r="W254" s="1457"/>
      <c r="X254" s="1457"/>
      <c r="Y254" s="1457"/>
    </row>
    <row r="255" spans="1:25" x14ac:dyDescent="0.2">
      <c r="A255" s="2296"/>
      <c r="B255" s="2296"/>
      <c r="C255" s="2296"/>
      <c r="D255" s="2296"/>
      <c r="E255" s="1456"/>
      <c r="I255" s="1447"/>
      <c r="J255" s="1447"/>
      <c r="K255" s="1447"/>
      <c r="L255" s="1447"/>
      <c r="M255" s="1447"/>
      <c r="N255" s="1447"/>
      <c r="O255" s="1447"/>
      <c r="P255" s="1520"/>
      <c r="R255" s="1457"/>
      <c r="S255" s="1457"/>
      <c r="T255" s="1457"/>
      <c r="U255" s="1457"/>
      <c r="V255" s="1457"/>
      <c r="W255" s="1457"/>
      <c r="X255" s="1457"/>
      <c r="Y255" s="1457"/>
    </row>
    <row r="256" spans="1:25" x14ac:dyDescent="0.2">
      <c r="A256" s="2296"/>
      <c r="B256" s="2296"/>
      <c r="C256" s="2296"/>
      <c r="D256" s="2296"/>
      <c r="E256" s="1456"/>
      <c r="I256" s="1447"/>
      <c r="J256" s="1447"/>
      <c r="K256" s="1447"/>
      <c r="L256" s="1447"/>
      <c r="M256" s="1447"/>
      <c r="N256" s="1447"/>
      <c r="O256" s="1447"/>
      <c r="P256" s="1520"/>
      <c r="R256" s="1457"/>
      <c r="S256" s="1457"/>
      <c r="T256" s="1457"/>
      <c r="U256" s="1457"/>
      <c r="V256" s="1457"/>
      <c r="W256" s="1457"/>
      <c r="X256" s="1457"/>
      <c r="Y256" s="1457"/>
    </row>
    <row r="257" spans="1:25" x14ac:dyDescent="0.2">
      <c r="A257" s="2296"/>
      <c r="B257" s="2296"/>
      <c r="C257" s="2296"/>
      <c r="D257" s="2296"/>
      <c r="E257" s="1456"/>
      <c r="I257" s="1447"/>
      <c r="J257" s="1447"/>
      <c r="K257" s="1447"/>
      <c r="L257" s="1447"/>
      <c r="M257" s="1447"/>
      <c r="N257" s="1447"/>
      <c r="O257" s="1447"/>
      <c r="P257" s="1520"/>
      <c r="R257" s="1457"/>
      <c r="S257" s="1457"/>
      <c r="T257" s="1457"/>
      <c r="U257" s="1457"/>
      <c r="V257" s="1457"/>
      <c r="W257" s="1457"/>
      <c r="X257" s="1457"/>
      <c r="Y257" s="1457"/>
    </row>
    <row r="258" spans="1:25" x14ac:dyDescent="0.2">
      <c r="A258" s="2296"/>
      <c r="B258" s="2296"/>
      <c r="C258" s="2296"/>
      <c r="D258" s="2296"/>
      <c r="E258" s="1456"/>
      <c r="I258" s="1447"/>
      <c r="J258" s="1447"/>
      <c r="K258" s="1447"/>
      <c r="L258" s="1447"/>
      <c r="M258" s="1447"/>
      <c r="N258" s="1447"/>
      <c r="O258" s="1447"/>
      <c r="P258" s="1520"/>
      <c r="R258" s="1457"/>
      <c r="S258" s="1457"/>
      <c r="T258" s="1457"/>
      <c r="U258" s="1457"/>
      <c r="V258" s="1457"/>
      <c r="W258" s="1457"/>
      <c r="X258" s="1457"/>
      <c r="Y258" s="1457"/>
    </row>
    <row r="259" spans="1:25" x14ac:dyDescent="0.2">
      <c r="A259" s="2296"/>
      <c r="B259" s="2296"/>
      <c r="C259" s="2296"/>
      <c r="D259" s="2296"/>
      <c r="E259" s="1456"/>
      <c r="I259" s="1447"/>
      <c r="J259" s="1447"/>
      <c r="K259" s="1447"/>
      <c r="L259" s="1447"/>
      <c r="M259" s="1447"/>
      <c r="N259" s="1447"/>
      <c r="O259" s="1447"/>
      <c r="P259" s="1520"/>
      <c r="R259" s="1457"/>
      <c r="S259" s="1457"/>
      <c r="T259" s="1457"/>
      <c r="U259" s="1457"/>
      <c r="V259" s="1457"/>
      <c r="W259" s="1457"/>
      <c r="X259" s="1457"/>
      <c r="Y259" s="1457"/>
    </row>
    <row r="260" spans="1:25" x14ac:dyDescent="0.2">
      <c r="A260" s="2296"/>
      <c r="B260" s="2296"/>
      <c r="C260" s="2296"/>
      <c r="D260" s="2296"/>
      <c r="E260" s="1456"/>
      <c r="I260" s="1447"/>
      <c r="J260" s="1447"/>
      <c r="K260" s="1447"/>
      <c r="L260" s="1447"/>
      <c r="M260" s="1447"/>
      <c r="N260" s="1447"/>
      <c r="O260" s="1447"/>
      <c r="P260" s="1520"/>
      <c r="R260" s="1457"/>
      <c r="S260" s="1457"/>
      <c r="T260" s="1457"/>
      <c r="U260" s="1457"/>
      <c r="V260" s="1457"/>
      <c r="W260" s="1457"/>
      <c r="X260" s="1457"/>
      <c r="Y260" s="1457"/>
    </row>
    <row r="261" spans="1:25" x14ac:dyDescent="0.2">
      <c r="A261" s="2296"/>
      <c r="B261" s="2296"/>
      <c r="C261" s="2296"/>
      <c r="D261" s="2296"/>
      <c r="E261" s="1456"/>
      <c r="I261" s="1447"/>
      <c r="J261" s="1447"/>
      <c r="K261" s="1447"/>
      <c r="L261" s="1447"/>
      <c r="M261" s="1447"/>
      <c r="N261" s="1447"/>
      <c r="O261" s="1447"/>
      <c r="P261" s="1520"/>
      <c r="R261" s="1457"/>
      <c r="S261" s="1457"/>
      <c r="T261" s="1457"/>
      <c r="U261" s="1457"/>
      <c r="V261" s="1457"/>
      <c r="W261" s="1457"/>
      <c r="X261" s="1457"/>
      <c r="Y261" s="1457"/>
    </row>
    <row r="262" spans="1:25" x14ac:dyDescent="0.2">
      <c r="A262" s="2296"/>
      <c r="B262" s="2296"/>
      <c r="C262" s="2296"/>
      <c r="D262" s="2296"/>
      <c r="E262" s="1456"/>
      <c r="I262" s="1447"/>
      <c r="J262" s="1447"/>
      <c r="K262" s="1447"/>
      <c r="L262" s="1447"/>
      <c r="M262" s="1447"/>
      <c r="N262" s="1447"/>
      <c r="O262" s="1447"/>
      <c r="P262" s="1520"/>
      <c r="R262" s="1457"/>
      <c r="S262" s="1457"/>
      <c r="T262" s="1457"/>
      <c r="U262" s="1457"/>
      <c r="V262" s="1457"/>
      <c r="W262" s="1457"/>
      <c r="X262" s="1457"/>
      <c r="Y262" s="1457"/>
    </row>
    <row r="263" spans="1:25" x14ac:dyDescent="0.2">
      <c r="A263" s="2296"/>
      <c r="B263" s="2296"/>
      <c r="C263" s="2296"/>
      <c r="D263" s="2296"/>
      <c r="E263" s="1456"/>
      <c r="I263" s="1447"/>
      <c r="J263" s="1447"/>
      <c r="K263" s="1447"/>
      <c r="L263" s="1447"/>
      <c r="M263" s="1447"/>
      <c r="N263" s="1447"/>
      <c r="O263" s="1447"/>
      <c r="P263" s="1520"/>
      <c r="R263" s="1457"/>
      <c r="S263" s="1457"/>
      <c r="T263" s="1457"/>
      <c r="U263" s="1457"/>
      <c r="V263" s="1457"/>
      <c r="W263" s="1457"/>
      <c r="X263" s="1457"/>
      <c r="Y263" s="1457"/>
    </row>
    <row r="264" spans="1:25" x14ac:dyDescent="0.2">
      <c r="A264" s="2296"/>
      <c r="B264" s="2296"/>
      <c r="C264" s="2296"/>
      <c r="D264" s="2296"/>
      <c r="E264" s="1456"/>
      <c r="I264" s="1447"/>
      <c r="J264" s="1447"/>
      <c r="K264" s="1447"/>
      <c r="L264" s="1447"/>
      <c r="M264" s="1447"/>
      <c r="N264" s="1447"/>
      <c r="O264" s="1447"/>
      <c r="P264" s="1520"/>
      <c r="R264" s="1457"/>
      <c r="S264" s="1457"/>
      <c r="T264" s="1457"/>
      <c r="U264" s="1457"/>
      <c r="V264" s="1457"/>
      <c r="W264" s="1457"/>
      <c r="X264" s="1457"/>
      <c r="Y264" s="1457"/>
    </row>
    <row r="265" spans="1:25" x14ac:dyDescent="0.2">
      <c r="A265" s="2296"/>
      <c r="B265" s="2296"/>
      <c r="C265" s="2296"/>
      <c r="D265" s="2296"/>
      <c r="E265" s="1456"/>
      <c r="I265" s="1447"/>
      <c r="J265" s="1447"/>
      <c r="K265" s="1447"/>
      <c r="L265" s="1447"/>
      <c r="M265" s="1447"/>
      <c r="N265" s="1447"/>
      <c r="O265" s="1447"/>
      <c r="P265" s="1520"/>
      <c r="R265" s="1457"/>
      <c r="S265" s="1457"/>
      <c r="T265" s="1457"/>
      <c r="U265" s="1457"/>
      <c r="V265" s="1457"/>
      <c r="W265" s="1457"/>
      <c r="X265" s="1457"/>
      <c r="Y265" s="1457"/>
    </row>
    <row r="266" spans="1:25" x14ac:dyDescent="0.2">
      <c r="A266" s="2296"/>
      <c r="B266" s="2296"/>
      <c r="C266" s="2296"/>
      <c r="D266" s="2296"/>
      <c r="E266" s="1456"/>
      <c r="I266" s="1447"/>
      <c r="J266" s="1447"/>
      <c r="K266" s="1447"/>
      <c r="L266" s="1447"/>
      <c r="M266" s="1447"/>
      <c r="N266" s="1447"/>
      <c r="O266" s="1447"/>
      <c r="P266" s="1520"/>
      <c r="R266" s="1457"/>
      <c r="S266" s="1457"/>
      <c r="T266" s="1457"/>
      <c r="U266" s="1457"/>
      <c r="V266" s="1457"/>
      <c r="W266" s="1457"/>
      <c r="X266" s="1457"/>
      <c r="Y266" s="1457"/>
    </row>
    <row r="267" spans="1:25" x14ac:dyDescent="0.2">
      <c r="A267" s="2296"/>
      <c r="B267" s="2296"/>
      <c r="C267" s="2296"/>
      <c r="D267" s="2296"/>
      <c r="E267" s="1456"/>
      <c r="I267" s="1447"/>
      <c r="J267" s="1447"/>
      <c r="K267" s="1447"/>
      <c r="L267" s="1447"/>
      <c r="M267" s="1447"/>
      <c r="N267" s="1447"/>
      <c r="O267" s="1447"/>
      <c r="P267" s="1520"/>
      <c r="R267" s="1457"/>
      <c r="S267" s="1457"/>
      <c r="T267" s="1457"/>
      <c r="U267" s="1457"/>
      <c r="V267" s="1457"/>
      <c r="W267" s="1457"/>
      <c r="X267" s="1457"/>
      <c r="Y267" s="1457"/>
    </row>
    <row r="268" spans="1:25" x14ac:dyDescent="0.2">
      <c r="A268" s="2296"/>
      <c r="B268" s="2296"/>
      <c r="C268" s="2296"/>
      <c r="D268" s="2296"/>
      <c r="E268" s="1456"/>
      <c r="I268" s="1447"/>
      <c r="J268" s="1447"/>
      <c r="K268" s="1447"/>
      <c r="L268" s="1447"/>
      <c r="M268" s="1447"/>
      <c r="N268" s="1447"/>
      <c r="O268" s="1447"/>
      <c r="P268" s="1520"/>
      <c r="R268" s="1457"/>
      <c r="S268" s="1457"/>
      <c r="T268" s="1457"/>
      <c r="U268" s="1457"/>
      <c r="V268" s="1457"/>
      <c r="W268" s="1457"/>
      <c r="X268" s="1457"/>
      <c r="Y268" s="1457"/>
    </row>
    <row r="269" spans="1:25" x14ac:dyDescent="0.2">
      <c r="A269" s="2296"/>
      <c r="B269" s="2296"/>
      <c r="C269" s="2296"/>
      <c r="D269" s="2296"/>
      <c r="E269" s="1456"/>
      <c r="I269" s="1447"/>
      <c r="J269" s="1447"/>
      <c r="K269" s="1447"/>
      <c r="L269" s="1447"/>
      <c r="M269" s="1447"/>
      <c r="N269" s="1447"/>
      <c r="O269" s="1447"/>
      <c r="P269" s="1520"/>
      <c r="R269" s="1457"/>
      <c r="S269" s="1457"/>
      <c r="T269" s="1457"/>
      <c r="U269" s="1457"/>
      <c r="V269" s="1457"/>
      <c r="W269" s="1457"/>
      <c r="X269" s="1457"/>
      <c r="Y269" s="1457"/>
    </row>
    <row r="270" spans="1:25" x14ac:dyDescent="0.2">
      <c r="A270" s="2296"/>
      <c r="B270" s="2296"/>
      <c r="C270" s="2296"/>
      <c r="D270" s="2296"/>
      <c r="E270" s="1456"/>
      <c r="I270" s="1447"/>
      <c r="J270" s="1447"/>
      <c r="K270" s="1447"/>
      <c r="L270" s="1447"/>
      <c r="M270" s="1447"/>
      <c r="N270" s="1447"/>
      <c r="O270" s="1447"/>
      <c r="P270" s="1520"/>
      <c r="R270" s="1457"/>
      <c r="S270" s="1457"/>
      <c r="T270" s="1457"/>
      <c r="U270" s="1457"/>
      <c r="V270" s="1457"/>
      <c r="W270" s="1457"/>
      <c r="X270" s="1457"/>
      <c r="Y270" s="1457"/>
    </row>
    <row r="271" spans="1:25" x14ac:dyDescent="0.2">
      <c r="A271" s="2296"/>
      <c r="B271" s="2296"/>
      <c r="C271" s="2296"/>
      <c r="D271" s="2296"/>
      <c r="E271" s="1456"/>
      <c r="I271" s="1447"/>
      <c r="J271" s="1447"/>
      <c r="K271" s="1447"/>
      <c r="L271" s="1447"/>
      <c r="M271" s="1447"/>
      <c r="N271" s="1447"/>
      <c r="O271" s="1447"/>
      <c r="P271" s="1520"/>
      <c r="R271" s="1457"/>
      <c r="S271" s="1457"/>
      <c r="T271" s="1457"/>
      <c r="U271" s="1457"/>
      <c r="V271" s="1457"/>
      <c r="W271" s="1457"/>
      <c r="X271" s="1457"/>
      <c r="Y271" s="1457"/>
    </row>
    <row r="272" spans="1:25" x14ac:dyDescent="0.2">
      <c r="A272" s="2296"/>
      <c r="B272" s="2296"/>
      <c r="C272" s="2296"/>
      <c r="D272" s="2296"/>
      <c r="E272" s="1456"/>
      <c r="I272" s="1447"/>
      <c r="J272" s="1447"/>
      <c r="K272" s="1447"/>
      <c r="L272" s="1447"/>
      <c r="M272" s="1447"/>
      <c r="N272" s="1447"/>
      <c r="O272" s="1447"/>
      <c r="P272" s="1520"/>
      <c r="R272" s="1457"/>
      <c r="S272" s="1457"/>
      <c r="T272" s="1457"/>
      <c r="U272" s="1457"/>
      <c r="V272" s="1457"/>
      <c r="W272" s="1457"/>
      <c r="X272" s="1457"/>
      <c r="Y272" s="1457"/>
    </row>
    <row r="273" spans="1:25" x14ac:dyDescent="0.2">
      <c r="A273" s="2296"/>
      <c r="B273" s="2296"/>
      <c r="C273" s="2296"/>
      <c r="D273" s="2296"/>
      <c r="E273" s="1456"/>
      <c r="I273" s="1447"/>
      <c r="J273" s="1447"/>
      <c r="K273" s="1447"/>
      <c r="L273" s="1447"/>
      <c r="M273" s="1447"/>
      <c r="N273" s="1447"/>
      <c r="O273" s="1447"/>
      <c r="P273" s="1520"/>
      <c r="R273" s="1457"/>
      <c r="S273" s="1457"/>
      <c r="T273" s="1457"/>
      <c r="U273" s="1457"/>
      <c r="V273" s="1457"/>
      <c r="W273" s="1457"/>
      <c r="X273" s="1457"/>
      <c r="Y273" s="1457"/>
    </row>
    <row r="274" spans="1:25" x14ac:dyDescent="0.2">
      <c r="A274" s="2296"/>
      <c r="B274" s="2296"/>
      <c r="C274" s="2296"/>
      <c r="D274" s="2296"/>
      <c r="E274" s="1456"/>
      <c r="I274" s="1447"/>
      <c r="J274" s="1447"/>
      <c r="K274" s="1447"/>
      <c r="L274" s="1447"/>
      <c r="M274" s="1447"/>
      <c r="N274" s="1447"/>
      <c r="O274" s="1447"/>
      <c r="P274" s="1520"/>
      <c r="R274" s="1457"/>
      <c r="S274" s="1457"/>
      <c r="T274" s="1457"/>
      <c r="U274" s="1457"/>
      <c r="V274" s="1457"/>
      <c r="W274" s="1457"/>
      <c r="X274" s="1457"/>
      <c r="Y274" s="1457"/>
    </row>
    <row r="275" spans="1:25" x14ac:dyDescent="0.2">
      <c r="A275" s="2296"/>
      <c r="B275" s="2296"/>
      <c r="C275" s="2296"/>
      <c r="D275" s="2296"/>
      <c r="E275" s="1456"/>
      <c r="I275" s="1447"/>
      <c r="J275" s="1447"/>
      <c r="K275" s="1447"/>
      <c r="L275" s="1447"/>
      <c r="M275" s="1447"/>
      <c r="N275" s="1447"/>
      <c r="O275" s="1447"/>
      <c r="P275" s="1520"/>
      <c r="R275" s="1457"/>
      <c r="S275" s="1457"/>
      <c r="T275" s="1457"/>
      <c r="U275" s="1457"/>
      <c r="V275" s="1457"/>
      <c r="W275" s="1457"/>
      <c r="X275" s="1457"/>
      <c r="Y275" s="1457"/>
    </row>
    <row r="276" spans="1:25" x14ac:dyDescent="0.2">
      <c r="A276" s="2296"/>
      <c r="B276" s="2296"/>
      <c r="C276" s="2296"/>
      <c r="D276" s="2296"/>
      <c r="E276" s="1456"/>
      <c r="I276" s="1447"/>
      <c r="J276" s="1447"/>
      <c r="K276" s="1447"/>
      <c r="L276" s="1447"/>
      <c r="M276" s="1447"/>
      <c r="N276" s="1447"/>
      <c r="O276" s="1447"/>
      <c r="P276" s="1520"/>
      <c r="R276" s="1457"/>
      <c r="S276" s="1457"/>
      <c r="T276" s="1457"/>
      <c r="U276" s="1457"/>
      <c r="V276" s="1457"/>
      <c r="W276" s="1457"/>
      <c r="X276" s="1457"/>
      <c r="Y276" s="1457"/>
    </row>
    <row r="277" spans="1:25" x14ac:dyDescent="0.2">
      <c r="A277" s="2296"/>
      <c r="B277" s="2296"/>
      <c r="C277" s="2296"/>
      <c r="D277" s="2296"/>
      <c r="E277" s="1456"/>
      <c r="I277" s="1447"/>
      <c r="J277" s="1447"/>
      <c r="K277" s="1447"/>
      <c r="L277" s="1447"/>
      <c r="M277" s="1447"/>
      <c r="N277" s="1447"/>
      <c r="O277" s="1447"/>
      <c r="P277" s="1520"/>
      <c r="R277" s="1457"/>
      <c r="S277" s="1457"/>
      <c r="T277" s="1457"/>
      <c r="U277" s="1457"/>
      <c r="V277" s="1457"/>
      <c r="W277" s="1457"/>
      <c r="X277" s="1457"/>
      <c r="Y277" s="1457"/>
    </row>
    <row r="278" spans="1:25" x14ac:dyDescent="0.2">
      <c r="A278" s="2296"/>
      <c r="B278" s="2296"/>
      <c r="C278" s="2296"/>
      <c r="D278" s="2296"/>
      <c r="E278" s="1456"/>
      <c r="I278" s="1447"/>
      <c r="J278" s="1447"/>
      <c r="K278" s="1447"/>
      <c r="L278" s="1447"/>
      <c r="M278" s="1447"/>
      <c r="N278" s="1447"/>
      <c r="O278" s="1447"/>
      <c r="P278" s="1520"/>
      <c r="R278" s="1457"/>
      <c r="S278" s="1457"/>
      <c r="T278" s="1457"/>
      <c r="U278" s="1457"/>
      <c r="V278" s="1457"/>
      <c r="W278" s="1457"/>
      <c r="X278" s="1457"/>
      <c r="Y278" s="1457"/>
    </row>
    <row r="279" spans="1:25" x14ac:dyDescent="0.2">
      <c r="A279" s="2296"/>
      <c r="B279" s="2296"/>
      <c r="C279" s="2296"/>
      <c r="D279" s="2296"/>
      <c r="E279" s="1456"/>
      <c r="I279" s="1447"/>
      <c r="J279" s="1447"/>
      <c r="K279" s="1447"/>
      <c r="L279" s="1447"/>
      <c r="M279" s="1447"/>
      <c r="N279" s="1447"/>
      <c r="O279" s="1447"/>
      <c r="P279" s="1520"/>
      <c r="R279" s="1457"/>
      <c r="S279" s="1457"/>
      <c r="T279" s="1457"/>
      <c r="U279" s="1457"/>
      <c r="V279" s="1457"/>
      <c r="W279" s="1457"/>
      <c r="X279" s="1457"/>
      <c r="Y279" s="1457"/>
    </row>
    <row r="280" spans="1:25" x14ac:dyDescent="0.2">
      <c r="A280" s="2296"/>
      <c r="B280" s="2296"/>
      <c r="C280" s="2296"/>
      <c r="D280" s="2296"/>
      <c r="E280" s="1456"/>
      <c r="I280" s="1447"/>
      <c r="J280" s="1447"/>
      <c r="K280" s="1447"/>
      <c r="L280" s="1447"/>
      <c r="M280" s="1447"/>
      <c r="N280" s="1447"/>
      <c r="O280" s="1447"/>
      <c r="P280" s="1520"/>
      <c r="R280" s="1457"/>
      <c r="S280" s="1457"/>
      <c r="T280" s="1457"/>
      <c r="U280" s="1457"/>
      <c r="V280" s="1457"/>
      <c r="W280" s="1457"/>
      <c r="X280" s="1457"/>
      <c r="Y280" s="1457"/>
    </row>
    <row r="281" spans="1:25" x14ac:dyDescent="0.2">
      <c r="A281" s="2296"/>
      <c r="B281" s="2296"/>
      <c r="C281" s="2296"/>
      <c r="D281" s="2296"/>
      <c r="E281" s="1456"/>
      <c r="I281" s="1447"/>
      <c r="J281" s="1447"/>
      <c r="K281" s="1447"/>
      <c r="L281" s="1447"/>
      <c r="M281" s="1447"/>
      <c r="N281" s="1447"/>
      <c r="O281" s="1447"/>
      <c r="P281" s="1520"/>
      <c r="R281" s="1457"/>
      <c r="S281" s="1457"/>
      <c r="T281" s="1457"/>
      <c r="U281" s="1457"/>
      <c r="V281" s="1457"/>
      <c r="W281" s="1457"/>
      <c r="X281" s="1457"/>
      <c r="Y281" s="1457"/>
    </row>
    <row r="282" spans="1:25" x14ac:dyDescent="0.2">
      <c r="A282" s="2296"/>
      <c r="B282" s="2296"/>
      <c r="C282" s="2296"/>
      <c r="D282" s="2296"/>
      <c r="E282" s="1456"/>
      <c r="I282" s="1447"/>
      <c r="J282" s="1447"/>
      <c r="K282" s="1447"/>
      <c r="L282" s="1447"/>
      <c r="M282" s="1447"/>
      <c r="N282" s="1447"/>
      <c r="O282" s="1447"/>
      <c r="P282" s="1520"/>
      <c r="R282" s="1457"/>
      <c r="S282" s="1457"/>
      <c r="T282" s="1457"/>
      <c r="U282" s="1457"/>
      <c r="V282" s="1457"/>
      <c r="W282" s="1457"/>
      <c r="X282" s="1457"/>
      <c r="Y282" s="1457"/>
    </row>
    <row r="283" spans="1:25" x14ac:dyDescent="0.2">
      <c r="A283" s="2296"/>
      <c r="B283" s="2296"/>
      <c r="C283" s="2296"/>
      <c r="D283" s="2296"/>
      <c r="E283" s="1456"/>
      <c r="I283" s="1447"/>
      <c r="J283" s="1447"/>
      <c r="K283" s="1447"/>
      <c r="L283" s="1447"/>
      <c r="M283" s="1447"/>
      <c r="N283" s="1447"/>
      <c r="O283" s="1447"/>
      <c r="P283" s="1520"/>
      <c r="R283" s="1457"/>
      <c r="S283" s="1457"/>
      <c r="T283" s="1457"/>
      <c r="U283" s="1457"/>
      <c r="V283" s="1457"/>
      <c r="W283" s="1457"/>
      <c r="X283" s="1457"/>
      <c r="Y283" s="1457"/>
    </row>
    <row r="284" spans="1:25" x14ac:dyDescent="0.2">
      <c r="A284" s="2296"/>
      <c r="B284" s="2296"/>
      <c r="C284" s="2296"/>
      <c r="D284" s="2296"/>
      <c r="E284" s="1456"/>
      <c r="I284" s="1447"/>
      <c r="J284" s="1447"/>
      <c r="K284" s="1447"/>
      <c r="L284" s="1447"/>
      <c r="M284" s="1447"/>
      <c r="N284" s="1447"/>
      <c r="O284" s="1447"/>
      <c r="P284" s="1520"/>
      <c r="R284" s="1457"/>
      <c r="S284" s="1457"/>
      <c r="T284" s="1457"/>
      <c r="U284" s="1457"/>
      <c r="V284" s="1457"/>
      <c r="W284" s="1457"/>
      <c r="X284" s="1457"/>
      <c r="Y284" s="1457"/>
    </row>
    <row r="285" spans="1:25" x14ac:dyDescent="0.2">
      <c r="A285" s="2296"/>
      <c r="B285" s="2296"/>
      <c r="C285" s="2296"/>
      <c r="D285" s="2296"/>
      <c r="E285" s="1456"/>
      <c r="I285" s="1447"/>
      <c r="J285" s="1447"/>
      <c r="K285" s="1447"/>
      <c r="L285" s="1447"/>
      <c r="M285" s="1447"/>
      <c r="N285" s="1447"/>
      <c r="O285" s="1447"/>
      <c r="P285" s="1520"/>
      <c r="R285" s="1457"/>
      <c r="S285" s="1457"/>
      <c r="T285" s="1457"/>
      <c r="U285" s="1457"/>
      <c r="V285" s="1457"/>
      <c r="W285" s="1457"/>
      <c r="X285" s="1457"/>
      <c r="Y285" s="1457"/>
    </row>
    <row r="286" spans="1:25" x14ac:dyDescent="0.2">
      <c r="A286" s="2296"/>
      <c r="B286" s="2296"/>
      <c r="C286" s="2296"/>
      <c r="D286" s="2296"/>
      <c r="E286" s="1456"/>
      <c r="I286" s="1447"/>
      <c r="J286" s="1447"/>
      <c r="K286" s="1447"/>
      <c r="L286" s="1447"/>
      <c r="M286" s="1447"/>
      <c r="N286" s="1447"/>
      <c r="O286" s="1447"/>
      <c r="P286" s="1520"/>
      <c r="R286" s="1457"/>
      <c r="S286" s="1457"/>
      <c r="T286" s="1457"/>
      <c r="U286" s="1457"/>
      <c r="V286" s="1457"/>
      <c r="W286" s="1457"/>
      <c r="X286" s="1457"/>
      <c r="Y286" s="1457"/>
    </row>
    <row r="287" spans="1:25" x14ac:dyDescent="0.2">
      <c r="A287" s="2296"/>
      <c r="B287" s="2296"/>
      <c r="C287" s="2296"/>
      <c r="D287" s="2296"/>
      <c r="E287" s="1456"/>
      <c r="I287" s="1447"/>
      <c r="J287" s="1447"/>
      <c r="K287" s="1447"/>
      <c r="L287" s="1447"/>
      <c r="M287" s="1447"/>
      <c r="N287" s="1447"/>
      <c r="O287" s="1447"/>
      <c r="P287" s="1440"/>
      <c r="R287" s="1457"/>
      <c r="S287" s="1457"/>
      <c r="T287" s="1457"/>
      <c r="U287" s="1457"/>
      <c r="V287" s="1457"/>
      <c r="W287" s="1457"/>
      <c r="X287" s="1457"/>
      <c r="Y287" s="1457"/>
    </row>
    <row r="288" spans="1:25" x14ac:dyDescent="0.2">
      <c r="A288" s="2296"/>
      <c r="B288" s="2296"/>
      <c r="C288" s="2296"/>
      <c r="D288" s="2296"/>
      <c r="E288" s="1456"/>
      <c r="I288" s="1447"/>
      <c r="J288" s="1447"/>
      <c r="K288" s="1447"/>
      <c r="L288" s="1447"/>
      <c r="M288" s="1447"/>
      <c r="N288" s="1447"/>
      <c r="O288" s="1447"/>
      <c r="P288" s="1440"/>
      <c r="R288" s="1457"/>
      <c r="S288" s="1457"/>
      <c r="T288" s="1457"/>
      <c r="U288" s="1457"/>
      <c r="V288" s="1457"/>
      <c r="W288" s="1457"/>
      <c r="X288" s="1457"/>
      <c r="Y288" s="1457"/>
    </row>
    <row r="289" spans="1:25" x14ac:dyDescent="0.2">
      <c r="A289" s="2296"/>
      <c r="B289" s="2296"/>
      <c r="C289" s="2296"/>
      <c r="D289" s="2296"/>
      <c r="E289" s="1456"/>
      <c r="I289" s="1447"/>
      <c r="J289" s="1447"/>
      <c r="K289" s="1447"/>
      <c r="L289" s="1447"/>
      <c r="M289" s="1447"/>
      <c r="N289" s="1447"/>
      <c r="O289" s="1447"/>
      <c r="P289" s="1440"/>
      <c r="R289" s="1457"/>
      <c r="S289" s="1457"/>
      <c r="T289" s="1457"/>
      <c r="U289" s="1457"/>
      <c r="V289" s="1457"/>
      <c r="W289" s="1457"/>
      <c r="X289" s="1457"/>
      <c r="Y289" s="1457"/>
    </row>
    <row r="290" spans="1:25" x14ac:dyDescent="0.2">
      <c r="A290" s="2296"/>
      <c r="B290" s="2296"/>
      <c r="C290" s="2296"/>
      <c r="D290" s="2296"/>
      <c r="E290" s="1456"/>
      <c r="I290" s="1447"/>
      <c r="J290" s="1447"/>
      <c r="K290" s="1447"/>
      <c r="L290" s="1447"/>
      <c r="M290" s="1447"/>
      <c r="N290" s="1447"/>
      <c r="O290" s="1447"/>
      <c r="P290" s="1440"/>
      <c r="R290" s="1457"/>
      <c r="S290" s="1457"/>
      <c r="T290" s="1457"/>
      <c r="U290" s="1457"/>
      <c r="V290" s="1457"/>
      <c r="W290" s="1457"/>
      <c r="X290" s="1457"/>
      <c r="Y290" s="1457"/>
    </row>
    <row r="291" spans="1:25" x14ac:dyDescent="0.2">
      <c r="A291" s="2296"/>
      <c r="B291" s="2296"/>
      <c r="C291" s="2296"/>
      <c r="D291" s="2296"/>
      <c r="E291" s="1456"/>
      <c r="I291" s="1447"/>
      <c r="J291" s="1447"/>
      <c r="K291" s="1447"/>
      <c r="L291" s="1447"/>
      <c r="M291" s="1447"/>
      <c r="N291" s="1447"/>
      <c r="O291" s="1447"/>
      <c r="P291" s="1440"/>
      <c r="R291" s="1457"/>
      <c r="S291" s="1457"/>
      <c r="T291" s="1457"/>
      <c r="U291" s="1457"/>
      <c r="V291" s="1457"/>
      <c r="W291" s="1457"/>
      <c r="X291" s="1457"/>
      <c r="Y291" s="1457"/>
    </row>
    <row r="292" spans="1:25" x14ac:dyDescent="0.2">
      <c r="A292" s="2296"/>
      <c r="B292" s="2296"/>
      <c r="C292" s="2296"/>
      <c r="D292" s="2296"/>
      <c r="E292" s="1456"/>
      <c r="I292" s="1447"/>
      <c r="J292" s="1447"/>
      <c r="K292" s="1447"/>
      <c r="L292" s="1447"/>
      <c r="M292" s="1447"/>
      <c r="N292" s="1447"/>
      <c r="O292" s="1447"/>
      <c r="P292" s="1440"/>
      <c r="R292" s="1457"/>
      <c r="S292" s="1457"/>
      <c r="T292" s="1457"/>
      <c r="U292" s="1457"/>
      <c r="V292" s="1457"/>
      <c r="W292" s="1457"/>
      <c r="X292" s="1457"/>
      <c r="Y292" s="1457"/>
    </row>
    <row r="293" spans="1:25" x14ac:dyDescent="0.2">
      <c r="A293" s="2296"/>
      <c r="B293" s="2296"/>
      <c r="C293" s="2296"/>
      <c r="D293" s="2296"/>
      <c r="E293" s="1456"/>
      <c r="I293" s="1447"/>
      <c r="J293" s="1447"/>
      <c r="K293" s="1447"/>
      <c r="L293" s="1447"/>
      <c r="M293" s="1447"/>
      <c r="N293" s="1447"/>
      <c r="O293" s="1447"/>
      <c r="P293" s="1440"/>
      <c r="R293" s="1457"/>
      <c r="S293" s="1457"/>
      <c r="T293" s="1457"/>
      <c r="U293" s="1457"/>
      <c r="V293" s="1457"/>
      <c r="W293" s="1457"/>
      <c r="X293" s="1457"/>
      <c r="Y293" s="1457"/>
    </row>
    <row r="294" spans="1:25" x14ac:dyDescent="0.2">
      <c r="A294" s="2296"/>
      <c r="B294" s="2296"/>
      <c r="C294" s="2296"/>
      <c r="D294" s="2296"/>
      <c r="E294" s="1456"/>
      <c r="I294" s="1447"/>
      <c r="J294" s="1447"/>
      <c r="K294" s="1447"/>
      <c r="L294" s="1447"/>
      <c r="M294" s="1447"/>
      <c r="N294" s="1447"/>
      <c r="O294" s="1447"/>
      <c r="P294" s="1440"/>
      <c r="R294" s="1457"/>
      <c r="S294" s="1457"/>
      <c r="T294" s="1457"/>
      <c r="U294" s="1457"/>
      <c r="V294" s="1457"/>
      <c r="W294" s="1457"/>
      <c r="X294" s="1457"/>
      <c r="Y294" s="1457"/>
    </row>
    <row r="295" spans="1:25" x14ac:dyDescent="0.2">
      <c r="A295" s="2296"/>
      <c r="B295" s="2296"/>
      <c r="C295" s="2296"/>
      <c r="D295" s="2296"/>
      <c r="E295" s="1456"/>
      <c r="I295" s="1447"/>
      <c r="J295" s="1447"/>
      <c r="K295" s="1447"/>
      <c r="L295" s="1447"/>
      <c r="M295" s="1447"/>
      <c r="N295" s="1447"/>
      <c r="O295" s="1447"/>
      <c r="P295" s="1440"/>
      <c r="R295" s="1457"/>
      <c r="S295" s="1457"/>
      <c r="T295" s="1457"/>
      <c r="U295" s="1457"/>
      <c r="V295" s="1457"/>
      <c r="W295" s="1457"/>
      <c r="X295" s="1457"/>
      <c r="Y295" s="1457"/>
    </row>
    <row r="296" spans="1:25" x14ac:dyDescent="0.2">
      <c r="A296" s="2296"/>
      <c r="B296" s="2296"/>
      <c r="C296" s="2296"/>
      <c r="D296" s="2296"/>
      <c r="E296" s="1456"/>
      <c r="I296" s="1447"/>
      <c r="J296" s="1447"/>
      <c r="K296" s="1447"/>
      <c r="L296" s="1447"/>
      <c r="M296" s="1447"/>
      <c r="N296" s="1447"/>
      <c r="O296" s="1447"/>
      <c r="P296" s="1440"/>
      <c r="R296" s="1457"/>
      <c r="S296" s="1457"/>
      <c r="T296" s="1457"/>
      <c r="U296" s="1457"/>
      <c r="V296" s="1457"/>
      <c r="W296" s="1457"/>
      <c r="X296" s="1457"/>
      <c r="Y296" s="1457"/>
    </row>
    <row r="297" spans="1:25" x14ac:dyDescent="0.2">
      <c r="A297" s="2296"/>
      <c r="B297" s="2296"/>
      <c r="C297" s="2296"/>
      <c r="D297" s="2296"/>
      <c r="E297" s="1456"/>
      <c r="I297" s="1447"/>
      <c r="J297" s="1447"/>
      <c r="K297" s="1447"/>
      <c r="L297" s="1447"/>
      <c r="M297" s="1447"/>
      <c r="N297" s="1447"/>
      <c r="O297" s="1447"/>
      <c r="P297" s="1440"/>
      <c r="R297" s="1457"/>
      <c r="S297" s="1457"/>
      <c r="T297" s="1457"/>
      <c r="U297" s="1457"/>
      <c r="V297" s="1457"/>
      <c r="W297" s="1457"/>
      <c r="X297" s="1457"/>
      <c r="Y297" s="1457"/>
    </row>
    <row r="298" spans="1:25" x14ac:dyDescent="0.2">
      <c r="A298" s="2296"/>
      <c r="B298" s="2296"/>
      <c r="C298" s="2296"/>
      <c r="D298" s="2296"/>
      <c r="E298" s="1456"/>
      <c r="I298" s="1447"/>
      <c r="J298" s="1447"/>
      <c r="K298" s="1447"/>
      <c r="L298" s="1447"/>
      <c r="M298" s="1447"/>
      <c r="N298" s="1447"/>
      <c r="O298" s="1447"/>
      <c r="P298" s="1440"/>
      <c r="R298" s="1457"/>
      <c r="S298" s="1457"/>
      <c r="T298" s="1457"/>
      <c r="U298" s="1457"/>
      <c r="V298" s="1457"/>
      <c r="W298" s="1457"/>
      <c r="X298" s="1457"/>
      <c r="Y298" s="1457"/>
    </row>
    <row r="299" spans="1:25" x14ac:dyDescent="0.2">
      <c r="A299" s="2296"/>
      <c r="B299" s="2296"/>
      <c r="C299" s="2296"/>
      <c r="D299" s="2296"/>
      <c r="E299" s="1456"/>
      <c r="I299" s="1447"/>
      <c r="J299" s="1447"/>
      <c r="K299" s="1447"/>
      <c r="L299" s="1447"/>
      <c r="M299" s="1447"/>
      <c r="N299" s="1447"/>
      <c r="O299" s="1447"/>
      <c r="P299" s="1440"/>
      <c r="R299" s="1457"/>
      <c r="S299" s="1457"/>
      <c r="T299" s="1457"/>
      <c r="U299" s="1457"/>
      <c r="V299" s="1457"/>
      <c r="W299" s="1457"/>
      <c r="X299" s="1457"/>
      <c r="Y299" s="1457"/>
    </row>
    <row r="300" spans="1:25" x14ac:dyDescent="0.2">
      <c r="A300" s="2296"/>
      <c r="B300" s="2296"/>
      <c r="C300" s="2296"/>
      <c r="D300" s="2296"/>
      <c r="E300" s="1456"/>
      <c r="I300" s="1447"/>
      <c r="J300" s="1447"/>
      <c r="K300" s="1447"/>
      <c r="L300" s="1447"/>
      <c r="M300" s="1447"/>
      <c r="N300" s="1447"/>
      <c r="O300" s="1447"/>
      <c r="P300" s="1440"/>
      <c r="R300" s="1457"/>
      <c r="S300" s="1457"/>
      <c r="T300" s="1457"/>
      <c r="U300" s="1457"/>
      <c r="V300" s="1457"/>
      <c r="W300" s="1457"/>
      <c r="X300" s="1457"/>
      <c r="Y300" s="1457"/>
    </row>
    <row r="301" spans="1:25" x14ac:dyDescent="0.2">
      <c r="A301" s="2296"/>
      <c r="B301" s="2296"/>
      <c r="C301" s="2296"/>
      <c r="D301" s="2296"/>
      <c r="E301" s="1456"/>
      <c r="I301" s="1447"/>
      <c r="J301" s="1447"/>
      <c r="K301" s="1447"/>
      <c r="L301" s="1447"/>
      <c r="M301" s="1447"/>
      <c r="N301" s="1447"/>
      <c r="O301" s="1447"/>
      <c r="P301" s="1458"/>
      <c r="R301" s="1457"/>
      <c r="S301" s="1457"/>
      <c r="T301" s="1457"/>
      <c r="U301" s="1457"/>
      <c r="V301" s="1457"/>
      <c r="W301" s="1457"/>
      <c r="X301" s="1457"/>
      <c r="Y301" s="1457"/>
    </row>
    <row r="302" spans="1:25" x14ac:dyDescent="0.2">
      <c r="A302" s="2296"/>
      <c r="B302" s="2296"/>
      <c r="C302" s="2296"/>
      <c r="D302" s="2296"/>
      <c r="E302" s="1456"/>
      <c r="I302" s="1447"/>
      <c r="J302" s="1447"/>
      <c r="K302" s="1447"/>
      <c r="L302" s="1447"/>
      <c r="M302" s="1447"/>
      <c r="N302" s="1447"/>
      <c r="O302" s="1447"/>
      <c r="P302" s="1440"/>
      <c r="R302" s="1457"/>
      <c r="S302" s="1457"/>
      <c r="T302" s="1457"/>
      <c r="U302" s="1457"/>
      <c r="V302" s="1457"/>
      <c r="W302" s="1457"/>
      <c r="X302" s="1457"/>
      <c r="Y302" s="1457"/>
    </row>
    <row r="303" spans="1:25" x14ac:dyDescent="0.2">
      <c r="A303" s="2296"/>
      <c r="B303" s="2296"/>
      <c r="C303" s="2296"/>
      <c r="D303" s="2296"/>
      <c r="E303" s="1456"/>
      <c r="I303" s="1447"/>
      <c r="J303" s="1447"/>
      <c r="K303" s="1447"/>
      <c r="L303" s="1447"/>
      <c r="M303" s="1447"/>
      <c r="N303" s="1447"/>
      <c r="O303" s="1447"/>
      <c r="P303" s="1440"/>
      <c r="R303" s="1457"/>
      <c r="S303" s="1457"/>
      <c r="T303" s="1457"/>
      <c r="U303" s="1457"/>
      <c r="V303" s="1457"/>
      <c r="W303" s="1457"/>
      <c r="X303" s="1457"/>
      <c r="Y303" s="1457"/>
    </row>
    <row r="304" spans="1:25" x14ac:dyDescent="0.2">
      <c r="A304" s="2296"/>
      <c r="B304" s="2296"/>
      <c r="C304" s="2296"/>
      <c r="D304" s="2296"/>
      <c r="E304" s="1456"/>
      <c r="I304" s="1447"/>
      <c r="J304" s="1447"/>
      <c r="K304" s="1447"/>
      <c r="L304" s="1447"/>
      <c r="M304" s="1447"/>
      <c r="N304" s="1447"/>
      <c r="O304" s="1447"/>
      <c r="P304" s="1440"/>
      <c r="R304" s="1457"/>
      <c r="S304" s="1457"/>
      <c r="T304" s="1457"/>
      <c r="U304" s="1457"/>
      <c r="V304" s="1457"/>
      <c r="W304" s="1457"/>
      <c r="X304" s="1457"/>
      <c r="Y304" s="1457"/>
    </row>
    <row r="305" spans="1:25" x14ac:dyDescent="0.2">
      <c r="A305" s="2296"/>
      <c r="B305" s="2296"/>
      <c r="C305" s="2296"/>
      <c r="D305" s="2296"/>
      <c r="E305" s="1456"/>
      <c r="I305" s="1447"/>
      <c r="J305" s="1447"/>
      <c r="K305" s="1447"/>
      <c r="L305" s="1447"/>
      <c r="M305" s="1447"/>
      <c r="N305" s="1447"/>
      <c r="O305" s="1447"/>
      <c r="P305" s="1440"/>
      <c r="R305" s="1457"/>
      <c r="S305" s="1457"/>
      <c r="T305" s="1457"/>
      <c r="U305" s="1457"/>
      <c r="V305" s="1457"/>
      <c r="W305" s="1457"/>
      <c r="X305" s="1457"/>
      <c r="Y305" s="1457"/>
    </row>
    <row r="306" spans="1:25" x14ac:dyDescent="0.2">
      <c r="A306" s="2296"/>
      <c r="B306" s="2296"/>
      <c r="C306" s="2296"/>
      <c r="D306" s="2296"/>
      <c r="E306" s="1456"/>
      <c r="I306" s="1447"/>
      <c r="J306" s="1447"/>
      <c r="K306" s="1447"/>
      <c r="L306" s="1447"/>
      <c r="M306" s="1447"/>
      <c r="N306" s="1447"/>
      <c r="O306" s="1447"/>
      <c r="P306" s="1440"/>
      <c r="R306" s="1457"/>
      <c r="S306" s="1457"/>
      <c r="T306" s="1457"/>
      <c r="U306" s="1457"/>
      <c r="V306" s="1457"/>
      <c r="W306" s="1457"/>
      <c r="X306" s="1457"/>
      <c r="Y306" s="1457"/>
    </row>
    <row r="307" spans="1:25" x14ac:dyDescent="0.2">
      <c r="A307" s="2296"/>
      <c r="B307" s="2296"/>
      <c r="C307" s="2296"/>
      <c r="D307" s="2296"/>
      <c r="E307" s="1456"/>
      <c r="I307" s="1447"/>
      <c r="J307" s="1447"/>
      <c r="K307" s="1447"/>
      <c r="L307" s="1447"/>
      <c r="M307" s="1447"/>
      <c r="N307" s="1447"/>
      <c r="O307" s="1447"/>
      <c r="P307" s="1440"/>
      <c r="R307" s="1457"/>
      <c r="S307" s="1457"/>
      <c r="T307" s="1457"/>
      <c r="U307" s="1457"/>
      <c r="V307" s="1457"/>
      <c r="W307" s="1457"/>
      <c r="X307" s="1457"/>
      <c r="Y307" s="1457"/>
    </row>
    <row r="308" spans="1:25" x14ac:dyDescent="0.2">
      <c r="A308" s="2296"/>
      <c r="B308" s="2296"/>
      <c r="C308" s="2296"/>
      <c r="D308" s="2296"/>
      <c r="E308" s="1456"/>
      <c r="I308" s="1447"/>
      <c r="J308" s="1447"/>
      <c r="K308" s="1447"/>
      <c r="L308" s="1447"/>
      <c r="M308" s="1447"/>
      <c r="N308" s="1447"/>
      <c r="O308" s="1447"/>
      <c r="P308" s="1440"/>
      <c r="R308" s="1457"/>
      <c r="S308" s="1457"/>
      <c r="T308" s="1457"/>
      <c r="U308" s="1457"/>
      <c r="V308" s="1457"/>
      <c r="W308" s="1457"/>
      <c r="X308" s="1457"/>
      <c r="Y308" s="1457"/>
    </row>
    <row r="309" spans="1:25" x14ac:dyDescent="0.2">
      <c r="A309" s="2296"/>
      <c r="B309" s="2296"/>
      <c r="C309" s="2296"/>
      <c r="D309" s="2296"/>
      <c r="E309" s="1456"/>
      <c r="I309" s="1447"/>
      <c r="J309" s="1447"/>
      <c r="K309" s="1447"/>
      <c r="L309" s="1447"/>
      <c r="M309" s="1447"/>
      <c r="N309" s="1447"/>
      <c r="O309" s="1447"/>
      <c r="P309" s="1440"/>
      <c r="R309" s="1457"/>
      <c r="S309" s="1457"/>
      <c r="T309" s="1457"/>
      <c r="U309" s="1457"/>
      <c r="V309" s="1457"/>
      <c r="W309" s="1457"/>
      <c r="X309" s="1457"/>
      <c r="Y309" s="1457"/>
    </row>
    <row r="310" spans="1:25" x14ac:dyDescent="0.2">
      <c r="A310" s="2296"/>
      <c r="B310" s="2296"/>
      <c r="C310" s="2296"/>
      <c r="D310" s="2296"/>
      <c r="E310" s="1456"/>
      <c r="I310" s="1447"/>
      <c r="J310" s="1447"/>
      <c r="K310" s="1447"/>
      <c r="L310" s="1447"/>
      <c r="M310" s="1447"/>
      <c r="N310" s="1447"/>
      <c r="O310" s="1447"/>
      <c r="P310" s="1458"/>
      <c r="R310" s="1457"/>
      <c r="S310" s="1457"/>
      <c r="T310" s="1457"/>
      <c r="U310" s="1457"/>
      <c r="V310" s="1457"/>
      <c r="W310" s="1457"/>
      <c r="X310" s="1457"/>
      <c r="Y310" s="1457"/>
    </row>
    <row r="311" spans="1:25" x14ac:dyDescent="0.2">
      <c r="A311" s="2296"/>
      <c r="B311" s="2296"/>
      <c r="C311" s="2296"/>
      <c r="D311" s="2296"/>
      <c r="E311" s="1456"/>
      <c r="I311" s="1447"/>
      <c r="J311" s="1447"/>
      <c r="K311" s="1447"/>
      <c r="L311" s="1447"/>
      <c r="M311" s="1447"/>
      <c r="N311" s="1447"/>
      <c r="O311" s="1447"/>
      <c r="P311" s="1440"/>
      <c r="R311" s="1457"/>
      <c r="S311" s="1457"/>
      <c r="T311" s="1457"/>
      <c r="U311" s="1457"/>
      <c r="V311" s="1457"/>
      <c r="W311" s="1457"/>
      <c r="X311" s="1457"/>
      <c r="Y311" s="1457"/>
    </row>
    <row r="312" spans="1:25" x14ac:dyDescent="0.2">
      <c r="A312" s="2296"/>
      <c r="B312" s="2296"/>
      <c r="C312" s="2296"/>
      <c r="D312" s="2296"/>
      <c r="E312" s="1456"/>
      <c r="I312" s="1447"/>
      <c r="J312" s="1447"/>
      <c r="K312" s="1447"/>
      <c r="L312" s="1447"/>
      <c r="M312" s="1447"/>
      <c r="N312" s="1447"/>
      <c r="O312" s="1447"/>
      <c r="P312" s="1440"/>
      <c r="R312" s="1457"/>
      <c r="S312" s="1457"/>
      <c r="T312" s="1457"/>
      <c r="U312" s="1457"/>
      <c r="V312" s="1457"/>
      <c r="W312" s="1457"/>
      <c r="X312" s="1457"/>
      <c r="Y312" s="1457"/>
    </row>
    <row r="313" spans="1:25" x14ac:dyDescent="0.2">
      <c r="A313" s="2296"/>
      <c r="B313" s="2296"/>
      <c r="C313" s="2296"/>
      <c r="D313" s="2296"/>
      <c r="E313" s="1456"/>
      <c r="I313" s="1447"/>
      <c r="J313" s="1447"/>
      <c r="K313" s="1447"/>
      <c r="L313" s="1447"/>
      <c r="M313" s="1447"/>
      <c r="N313" s="1447"/>
      <c r="O313" s="1447"/>
      <c r="P313" s="1440"/>
      <c r="R313" s="1457"/>
      <c r="S313" s="1457"/>
      <c r="T313" s="1457"/>
      <c r="U313" s="1457"/>
      <c r="V313" s="1457"/>
      <c r="W313" s="1457"/>
      <c r="X313" s="1457"/>
      <c r="Y313" s="1457"/>
    </row>
    <row r="314" spans="1:25" x14ac:dyDescent="0.2">
      <c r="A314" s="2296"/>
      <c r="B314" s="2296"/>
      <c r="C314" s="2296"/>
      <c r="D314" s="2296"/>
      <c r="E314" s="1456"/>
      <c r="I314" s="1447"/>
      <c r="J314" s="1447"/>
      <c r="K314" s="1447"/>
      <c r="L314" s="1447"/>
      <c r="M314" s="1447"/>
      <c r="N314" s="1447"/>
      <c r="O314" s="1447"/>
      <c r="P314" s="1440"/>
      <c r="R314" s="1457"/>
      <c r="S314" s="1457"/>
      <c r="T314" s="1457"/>
      <c r="U314" s="1457"/>
      <c r="V314" s="1457"/>
      <c r="W314" s="1457"/>
      <c r="X314" s="1457"/>
      <c r="Y314" s="1457"/>
    </row>
    <row r="315" spans="1:25" x14ac:dyDescent="0.2">
      <c r="A315" s="2296"/>
      <c r="B315" s="2296"/>
      <c r="C315" s="2296"/>
      <c r="D315" s="2296"/>
      <c r="E315" s="1456"/>
      <c r="I315" s="1447"/>
      <c r="J315" s="1447"/>
      <c r="K315" s="1447"/>
      <c r="L315" s="1447"/>
      <c r="M315" s="1447"/>
      <c r="N315" s="1447"/>
      <c r="O315" s="1447"/>
      <c r="P315" s="1440"/>
      <c r="R315" s="1457"/>
      <c r="S315" s="1457"/>
      <c r="T315" s="1457"/>
      <c r="U315" s="1457"/>
      <c r="V315" s="1457"/>
      <c r="W315" s="1457"/>
      <c r="X315" s="1457"/>
      <c r="Y315" s="1457"/>
    </row>
    <row r="316" spans="1:25" x14ac:dyDescent="0.2">
      <c r="A316" s="2296"/>
      <c r="B316" s="2296"/>
      <c r="C316" s="2296"/>
      <c r="D316" s="2296"/>
      <c r="E316" s="1456"/>
      <c r="I316" s="1447"/>
      <c r="J316" s="1447"/>
      <c r="K316" s="1447"/>
      <c r="L316" s="1447"/>
      <c r="M316" s="1447"/>
      <c r="N316" s="1447"/>
      <c r="O316" s="1447"/>
      <c r="P316" s="1440"/>
      <c r="R316" s="1457"/>
      <c r="S316" s="1457"/>
      <c r="T316" s="1457"/>
      <c r="U316" s="1457"/>
      <c r="V316" s="1457"/>
      <c r="W316" s="1457"/>
      <c r="X316" s="1457"/>
      <c r="Y316" s="1457"/>
    </row>
    <row r="317" spans="1:25" x14ac:dyDescent="0.2">
      <c r="A317" s="2296"/>
      <c r="B317" s="2296"/>
      <c r="C317" s="2296"/>
      <c r="D317" s="2296"/>
      <c r="E317" s="1456"/>
      <c r="I317" s="1447"/>
      <c r="J317" s="1447"/>
      <c r="K317" s="1447"/>
      <c r="L317" s="1447"/>
      <c r="M317" s="1447"/>
      <c r="N317" s="1447"/>
      <c r="O317" s="1447"/>
      <c r="P317" s="1440"/>
      <c r="R317" s="1457"/>
      <c r="S317" s="1457"/>
      <c r="T317" s="1457"/>
      <c r="U317" s="1457"/>
      <c r="V317" s="1457"/>
      <c r="W317" s="1457"/>
      <c r="X317" s="1457"/>
      <c r="Y317" s="1457"/>
    </row>
    <row r="318" spans="1:25" x14ac:dyDescent="0.2">
      <c r="A318" s="2296"/>
      <c r="B318" s="2296"/>
      <c r="C318" s="2296"/>
      <c r="D318" s="2296"/>
      <c r="E318" s="1456"/>
      <c r="I318" s="1447"/>
      <c r="J318" s="1447"/>
      <c r="K318" s="1447"/>
      <c r="L318" s="1447"/>
      <c r="M318" s="1447"/>
      <c r="N318" s="1447"/>
      <c r="O318" s="1447"/>
      <c r="P318" s="1440"/>
      <c r="R318" s="1457"/>
      <c r="S318" s="1457"/>
      <c r="T318" s="1457"/>
      <c r="U318" s="1457"/>
      <c r="V318" s="1457"/>
      <c r="W318" s="1457"/>
      <c r="X318" s="1457"/>
      <c r="Y318" s="1457"/>
    </row>
    <row r="319" spans="1:25" x14ac:dyDescent="0.2">
      <c r="A319" s="2296"/>
      <c r="B319" s="2296"/>
      <c r="C319" s="2296"/>
      <c r="D319" s="2296"/>
      <c r="E319" s="1456"/>
      <c r="I319" s="1447"/>
      <c r="J319" s="1447"/>
      <c r="K319" s="1447"/>
      <c r="L319" s="1447"/>
      <c r="M319" s="1447"/>
      <c r="N319" s="1447"/>
      <c r="O319" s="1447"/>
      <c r="P319" s="1440"/>
      <c r="R319" s="1457"/>
      <c r="S319" s="1457"/>
      <c r="T319" s="1457"/>
      <c r="U319" s="1457"/>
      <c r="V319" s="1457"/>
      <c r="W319" s="1457"/>
      <c r="X319" s="1457"/>
      <c r="Y319" s="1457"/>
    </row>
    <row r="320" spans="1:25" x14ac:dyDescent="0.2">
      <c r="A320" s="2296"/>
      <c r="B320" s="2296"/>
      <c r="C320" s="2296"/>
      <c r="D320" s="2296"/>
      <c r="E320" s="1456"/>
      <c r="I320" s="1447"/>
      <c r="J320" s="1447"/>
      <c r="K320" s="1447"/>
      <c r="L320" s="1447"/>
      <c r="M320" s="1447"/>
      <c r="N320" s="1447"/>
      <c r="O320" s="1447"/>
      <c r="P320" s="1440"/>
      <c r="R320" s="1457"/>
      <c r="S320" s="1457"/>
      <c r="T320" s="1457"/>
      <c r="U320" s="1457"/>
      <c r="V320" s="1457"/>
      <c r="W320" s="1457"/>
      <c r="X320" s="1457"/>
      <c r="Y320" s="1457"/>
    </row>
    <row r="321" spans="1:25" x14ac:dyDescent="0.2">
      <c r="A321" s="2296"/>
      <c r="B321" s="2296"/>
      <c r="C321" s="2296"/>
      <c r="D321" s="2296"/>
      <c r="E321" s="1456"/>
      <c r="I321" s="1447"/>
      <c r="J321" s="1447"/>
      <c r="K321" s="1447"/>
      <c r="L321" s="1447"/>
      <c r="M321" s="1447"/>
      <c r="N321" s="1447"/>
      <c r="O321" s="1447"/>
      <c r="P321" s="1440"/>
      <c r="R321" s="1457"/>
      <c r="S321" s="1457"/>
      <c r="T321" s="1457"/>
      <c r="U321" s="1457"/>
      <c r="V321" s="1457"/>
      <c r="W321" s="1457"/>
      <c r="X321" s="1457"/>
      <c r="Y321" s="1457"/>
    </row>
    <row r="322" spans="1:25" x14ac:dyDescent="0.2">
      <c r="A322" s="2296"/>
      <c r="B322" s="2296"/>
      <c r="C322" s="2296"/>
      <c r="D322" s="2296"/>
      <c r="E322" s="1456"/>
      <c r="I322" s="1447"/>
      <c r="J322" s="1447"/>
      <c r="K322" s="1447"/>
      <c r="L322" s="1447"/>
      <c r="M322" s="1447"/>
      <c r="N322" s="1447"/>
      <c r="O322" s="1447"/>
      <c r="P322" s="1440"/>
      <c r="R322" s="1457"/>
      <c r="S322" s="1457"/>
      <c r="T322" s="1457"/>
      <c r="U322" s="1457"/>
      <c r="V322" s="1457"/>
      <c r="W322" s="1457"/>
      <c r="X322" s="1457"/>
      <c r="Y322" s="1457"/>
    </row>
    <row r="323" spans="1:25" x14ac:dyDescent="0.2">
      <c r="A323" s="2296"/>
      <c r="B323" s="2296"/>
      <c r="C323" s="2296"/>
      <c r="D323" s="2296"/>
      <c r="E323" s="1456"/>
      <c r="I323" s="1447"/>
      <c r="J323" s="1447"/>
      <c r="K323" s="1447"/>
      <c r="L323" s="1447"/>
      <c r="M323" s="1447"/>
      <c r="N323" s="1447"/>
      <c r="O323" s="1447"/>
      <c r="P323" s="1440"/>
      <c r="R323" s="1457"/>
      <c r="S323" s="1457"/>
      <c r="T323" s="1457"/>
      <c r="U323" s="1457"/>
      <c r="V323" s="1457"/>
      <c r="W323" s="1457"/>
      <c r="X323" s="1457"/>
      <c r="Y323" s="1457"/>
    </row>
    <row r="324" spans="1:25" x14ac:dyDescent="0.2">
      <c r="A324" s="2296"/>
      <c r="B324" s="2296"/>
      <c r="C324" s="2296"/>
      <c r="D324" s="2296"/>
      <c r="E324" s="1456"/>
      <c r="I324" s="1447"/>
      <c r="J324" s="1447"/>
      <c r="K324" s="1447"/>
      <c r="L324" s="1447"/>
      <c r="M324" s="1447"/>
      <c r="N324" s="1447"/>
      <c r="O324" s="1447"/>
      <c r="P324" s="1440"/>
      <c r="R324" s="1457"/>
      <c r="S324" s="1457"/>
      <c r="T324" s="1457"/>
      <c r="U324" s="1457"/>
      <c r="V324" s="1457"/>
      <c r="W324" s="1457"/>
      <c r="X324" s="1457"/>
      <c r="Y324" s="1457"/>
    </row>
    <row r="325" spans="1:25" x14ac:dyDescent="0.2">
      <c r="A325" s="2296"/>
      <c r="B325" s="2296"/>
      <c r="C325" s="2296"/>
      <c r="D325" s="2296"/>
      <c r="E325" s="1456"/>
      <c r="I325" s="1447"/>
      <c r="J325" s="1447"/>
      <c r="K325" s="1447"/>
      <c r="L325" s="1447"/>
      <c r="M325" s="1447"/>
      <c r="N325" s="1447"/>
      <c r="O325" s="1447"/>
      <c r="P325" s="1440"/>
      <c r="R325" s="1457"/>
      <c r="S325" s="1457"/>
      <c r="T325" s="1457"/>
      <c r="U325" s="1457"/>
      <c r="V325" s="1457"/>
      <c r="W325" s="1457"/>
      <c r="X325" s="1457"/>
      <c r="Y325" s="1457"/>
    </row>
    <row r="326" spans="1:25" x14ac:dyDescent="0.2">
      <c r="A326" s="2296"/>
      <c r="B326" s="2296"/>
      <c r="C326" s="2296"/>
      <c r="D326" s="2296"/>
      <c r="E326" s="1456"/>
      <c r="I326" s="1447"/>
      <c r="J326" s="1447"/>
      <c r="K326" s="1447"/>
      <c r="L326" s="1447"/>
      <c r="M326" s="1447"/>
      <c r="N326" s="1447"/>
      <c r="O326" s="1447"/>
      <c r="P326" s="1440"/>
      <c r="R326" s="1457"/>
      <c r="S326" s="1457"/>
      <c r="T326" s="1457"/>
      <c r="U326" s="1457"/>
      <c r="V326" s="1457"/>
      <c r="W326" s="1457"/>
      <c r="X326" s="1457"/>
      <c r="Y326" s="1457"/>
    </row>
    <row r="327" spans="1:25" x14ac:dyDescent="0.2">
      <c r="A327" s="2296"/>
      <c r="B327" s="2296"/>
      <c r="C327" s="2296"/>
      <c r="D327" s="2296"/>
      <c r="E327" s="1456"/>
      <c r="I327" s="1447"/>
      <c r="J327" s="1447"/>
      <c r="K327" s="1447"/>
      <c r="L327" s="1447"/>
      <c r="M327" s="1447"/>
      <c r="N327" s="1447"/>
      <c r="O327" s="1447"/>
      <c r="P327" s="1440"/>
      <c r="R327" s="1457"/>
      <c r="S327" s="1457"/>
      <c r="T327" s="1457"/>
      <c r="U327" s="1457"/>
      <c r="V327" s="1457"/>
      <c r="W327" s="1457"/>
      <c r="X327" s="1457"/>
      <c r="Y327" s="1457"/>
    </row>
    <row r="328" spans="1:25" x14ac:dyDescent="0.2">
      <c r="A328" s="2296"/>
      <c r="B328" s="2296"/>
      <c r="C328" s="2296"/>
      <c r="D328" s="2296"/>
      <c r="E328" s="1456"/>
      <c r="I328" s="1447"/>
      <c r="J328" s="1447"/>
      <c r="K328" s="1447"/>
      <c r="L328" s="1447"/>
      <c r="M328" s="1447"/>
      <c r="N328" s="1447"/>
      <c r="O328" s="1447"/>
      <c r="P328" s="1440"/>
      <c r="R328" s="1457"/>
      <c r="S328" s="1457"/>
      <c r="T328" s="1457"/>
      <c r="U328" s="1457"/>
      <c r="V328" s="1457"/>
      <c r="W328" s="1457"/>
      <c r="X328" s="1457"/>
      <c r="Y328" s="1457"/>
    </row>
    <row r="329" spans="1:25" x14ac:dyDescent="0.2">
      <c r="A329" s="2296"/>
      <c r="B329" s="2296"/>
      <c r="C329" s="2296"/>
      <c r="D329" s="2296"/>
      <c r="E329" s="1456"/>
      <c r="I329" s="1447"/>
      <c r="J329" s="1447"/>
      <c r="K329" s="1447"/>
      <c r="L329" s="1447"/>
      <c r="M329" s="1447"/>
      <c r="N329" s="1447"/>
      <c r="O329" s="1447"/>
      <c r="P329" s="1458"/>
      <c r="R329" s="1457"/>
      <c r="S329" s="1457"/>
      <c r="T329" s="1457"/>
      <c r="U329" s="1457"/>
      <c r="V329" s="1457"/>
      <c r="W329" s="1457"/>
      <c r="X329" s="1457"/>
      <c r="Y329" s="1457"/>
    </row>
    <row r="330" spans="1:25" x14ac:dyDescent="0.2">
      <c r="A330" s="2296"/>
      <c r="B330" s="2296"/>
      <c r="C330" s="2296"/>
      <c r="D330" s="2296"/>
      <c r="E330" s="1456"/>
      <c r="I330" s="1447"/>
      <c r="J330" s="1447"/>
      <c r="K330" s="1447"/>
      <c r="L330" s="1447"/>
      <c r="M330" s="1447"/>
      <c r="N330" s="1447"/>
      <c r="O330" s="1447"/>
      <c r="P330" s="1440"/>
      <c r="R330" s="1457"/>
      <c r="S330" s="1457"/>
      <c r="T330" s="1457"/>
      <c r="U330" s="1457"/>
      <c r="V330" s="1457"/>
      <c r="W330" s="1457"/>
      <c r="X330" s="1457"/>
      <c r="Y330" s="1457"/>
    </row>
    <row r="331" spans="1:25" x14ac:dyDescent="0.2">
      <c r="A331" s="2296"/>
      <c r="B331" s="2296"/>
      <c r="C331" s="2296"/>
      <c r="D331" s="2296"/>
      <c r="E331" s="1456"/>
      <c r="I331" s="1447"/>
      <c r="J331" s="1447"/>
      <c r="K331" s="1447"/>
      <c r="L331" s="1447"/>
      <c r="M331" s="1447"/>
      <c r="N331" s="1447"/>
      <c r="O331" s="1447"/>
      <c r="P331" s="1440"/>
      <c r="R331" s="1457"/>
      <c r="S331" s="1457"/>
      <c r="T331" s="1457"/>
      <c r="U331" s="1457"/>
      <c r="V331" s="1457"/>
      <c r="W331" s="1457"/>
      <c r="X331" s="1457"/>
      <c r="Y331" s="1457"/>
    </row>
    <row r="332" spans="1:25" x14ac:dyDescent="0.2">
      <c r="A332" s="2296"/>
      <c r="B332" s="2296"/>
      <c r="C332" s="2296"/>
      <c r="D332" s="2296"/>
      <c r="E332" s="1456"/>
      <c r="I332" s="1447"/>
      <c r="J332" s="1447"/>
      <c r="K332" s="1447"/>
      <c r="L332" s="1447"/>
      <c r="M332" s="1447"/>
      <c r="N332" s="1447"/>
      <c r="O332" s="1447"/>
      <c r="P332" s="1440"/>
      <c r="R332" s="1457"/>
      <c r="S332" s="1457"/>
      <c r="T332" s="1457"/>
      <c r="U332" s="1457"/>
      <c r="V332" s="1457"/>
      <c r="W332" s="1457"/>
      <c r="X332" s="1457"/>
      <c r="Y332" s="1457"/>
    </row>
    <row r="333" spans="1:25" x14ac:dyDescent="0.2">
      <c r="A333" s="2296"/>
      <c r="B333" s="2296"/>
      <c r="C333" s="2296"/>
      <c r="D333" s="2296"/>
      <c r="E333" s="1456"/>
      <c r="I333" s="1447"/>
      <c r="J333" s="1447"/>
      <c r="K333" s="1447"/>
      <c r="L333" s="1447"/>
      <c r="M333" s="1447"/>
      <c r="N333" s="1447"/>
      <c r="O333" s="1447"/>
      <c r="P333" s="1458"/>
      <c r="R333" s="1457"/>
      <c r="S333" s="1457"/>
      <c r="T333" s="1457"/>
      <c r="U333" s="1457"/>
      <c r="V333" s="1457"/>
      <c r="W333" s="1457"/>
      <c r="X333" s="1457"/>
      <c r="Y333" s="1457"/>
    </row>
    <row r="334" spans="1:25" x14ac:dyDescent="0.2">
      <c r="A334" s="2296"/>
      <c r="B334" s="2296"/>
      <c r="C334" s="2296"/>
      <c r="D334" s="2296"/>
      <c r="E334" s="1456"/>
      <c r="I334" s="1447"/>
      <c r="J334" s="1447"/>
      <c r="K334" s="1447"/>
      <c r="L334" s="1447"/>
      <c r="M334" s="1447"/>
      <c r="N334" s="1447"/>
      <c r="O334" s="1447"/>
      <c r="P334" s="1440"/>
      <c r="R334" s="1457"/>
      <c r="S334" s="1457"/>
      <c r="T334" s="1457"/>
      <c r="U334" s="1457"/>
      <c r="V334" s="1457"/>
      <c r="W334" s="1457"/>
      <c r="X334" s="1457"/>
      <c r="Y334" s="1457"/>
    </row>
    <row r="335" spans="1:25" x14ac:dyDescent="0.2">
      <c r="A335" s="2296"/>
      <c r="B335" s="2296"/>
      <c r="C335" s="2296"/>
      <c r="D335" s="2296"/>
      <c r="E335" s="1456"/>
      <c r="I335" s="1447"/>
      <c r="J335" s="1447"/>
      <c r="K335" s="1447"/>
      <c r="L335" s="1447"/>
      <c r="M335" s="1447"/>
      <c r="N335" s="1447"/>
      <c r="O335" s="1447"/>
      <c r="P335" s="1440"/>
      <c r="R335" s="1457"/>
      <c r="S335" s="1457"/>
      <c r="T335" s="1457"/>
      <c r="U335" s="1457"/>
      <c r="V335" s="1457"/>
      <c r="W335" s="1457"/>
      <c r="X335" s="1457"/>
      <c r="Y335" s="1457"/>
    </row>
    <row r="336" spans="1:25" x14ac:dyDescent="0.2">
      <c r="A336" s="2296"/>
      <c r="B336" s="2296"/>
      <c r="C336" s="2296"/>
      <c r="D336" s="2296"/>
      <c r="E336" s="1456"/>
      <c r="I336" s="1447"/>
      <c r="J336" s="1447"/>
      <c r="K336" s="1447"/>
      <c r="L336" s="1447"/>
      <c r="M336" s="1447"/>
      <c r="N336" s="1447"/>
      <c r="O336" s="1447"/>
      <c r="P336" s="1440"/>
      <c r="R336" s="1457"/>
      <c r="S336" s="1457"/>
      <c r="T336" s="1457"/>
      <c r="U336" s="1457"/>
      <c r="V336" s="1457"/>
      <c r="W336" s="1457"/>
      <c r="X336" s="1457"/>
      <c r="Y336" s="1457"/>
    </row>
    <row r="337" spans="1:25" x14ac:dyDescent="0.2">
      <c r="A337" s="2296"/>
      <c r="B337" s="2296"/>
      <c r="C337" s="2296"/>
      <c r="D337" s="2296"/>
      <c r="E337" s="1456"/>
      <c r="I337" s="1447"/>
      <c r="J337" s="1447"/>
      <c r="K337" s="1447"/>
      <c r="L337" s="1447"/>
      <c r="M337" s="1447"/>
      <c r="N337" s="1447"/>
      <c r="O337" s="1447"/>
      <c r="P337" s="1440"/>
      <c r="R337" s="1457"/>
      <c r="S337" s="1457"/>
      <c r="T337" s="1457"/>
      <c r="U337" s="1457"/>
      <c r="V337" s="1457"/>
      <c r="W337" s="1457"/>
      <c r="X337" s="1457"/>
      <c r="Y337" s="1457"/>
    </row>
    <row r="338" spans="1:25" x14ac:dyDescent="0.2">
      <c r="A338" s="2296"/>
      <c r="B338" s="2296"/>
      <c r="C338" s="2296"/>
      <c r="D338" s="2296"/>
      <c r="E338" s="1456"/>
      <c r="I338" s="1447"/>
      <c r="J338" s="1447"/>
      <c r="K338" s="1447"/>
      <c r="L338" s="1447"/>
      <c r="M338" s="1447"/>
      <c r="N338" s="1447"/>
      <c r="O338" s="1447"/>
      <c r="P338" s="1440"/>
      <c r="R338" s="1457"/>
      <c r="S338" s="1457"/>
      <c r="T338" s="1457"/>
      <c r="U338" s="1457"/>
      <c r="V338" s="1457"/>
      <c r="W338" s="1457"/>
      <c r="X338" s="1457"/>
      <c r="Y338" s="1457"/>
    </row>
    <row r="339" spans="1:25" x14ac:dyDescent="0.2">
      <c r="A339" s="2296"/>
      <c r="B339" s="2296"/>
      <c r="C339" s="2296"/>
      <c r="D339" s="2296"/>
      <c r="E339" s="1456"/>
      <c r="R339" s="1457"/>
      <c r="S339" s="1457"/>
      <c r="T339" s="1457"/>
      <c r="U339" s="1457"/>
      <c r="V339" s="1457"/>
      <c r="W339" s="1457"/>
      <c r="X339" s="1457"/>
      <c r="Y339" s="1457"/>
    </row>
    <row r="340" spans="1:25" x14ac:dyDescent="0.2">
      <c r="A340" s="2296"/>
      <c r="B340" s="2296"/>
      <c r="C340" s="2296"/>
      <c r="D340" s="2296"/>
      <c r="E340" s="1456"/>
      <c r="R340" s="1457"/>
      <c r="S340" s="1457"/>
      <c r="T340" s="1457"/>
      <c r="U340" s="1457"/>
      <c r="V340" s="1457"/>
      <c r="W340" s="1457"/>
      <c r="X340" s="1457"/>
      <c r="Y340" s="1457"/>
    </row>
    <row r="341" spans="1:25" x14ac:dyDescent="0.2">
      <c r="A341" s="2296"/>
      <c r="B341" s="2296"/>
      <c r="C341" s="2296"/>
      <c r="D341" s="2296"/>
      <c r="E341" s="1456"/>
      <c r="R341" s="1457"/>
      <c r="S341" s="1457"/>
      <c r="T341" s="1457"/>
      <c r="U341" s="1457"/>
      <c r="V341" s="1457"/>
      <c r="W341" s="1457"/>
      <c r="X341" s="1457"/>
      <c r="Y341" s="1457"/>
    </row>
    <row r="342" spans="1:25" x14ac:dyDescent="0.2">
      <c r="A342" s="2296"/>
      <c r="B342" s="2296"/>
      <c r="C342" s="2296"/>
      <c r="D342" s="2296"/>
      <c r="E342" s="1456"/>
      <c r="R342" s="1457"/>
      <c r="S342" s="1457"/>
      <c r="T342" s="1457"/>
      <c r="U342" s="1457"/>
      <c r="V342" s="1457"/>
      <c r="W342" s="1457"/>
      <c r="X342" s="1457"/>
      <c r="Y342" s="1457"/>
    </row>
    <row r="343" spans="1:25" x14ac:dyDescent="0.2">
      <c r="A343" s="2296"/>
      <c r="B343" s="2296"/>
      <c r="C343" s="2296"/>
      <c r="D343" s="2296"/>
      <c r="E343" s="1456"/>
      <c r="R343" s="1457"/>
      <c r="S343" s="1457"/>
      <c r="T343" s="1457"/>
      <c r="U343" s="1457"/>
      <c r="V343" s="1457"/>
      <c r="W343" s="1457"/>
      <c r="X343" s="1457"/>
      <c r="Y343" s="1457"/>
    </row>
    <row r="344" spans="1:25" x14ac:dyDescent="0.2">
      <c r="A344" s="2296"/>
      <c r="B344" s="2296"/>
      <c r="C344" s="2296"/>
      <c r="D344" s="2296"/>
      <c r="E344" s="1456"/>
      <c r="R344" s="1457"/>
      <c r="S344" s="1457"/>
      <c r="T344" s="1457"/>
      <c r="U344" s="1457"/>
      <c r="V344" s="1457"/>
      <c r="W344" s="1457"/>
      <c r="X344" s="1457"/>
      <c r="Y344" s="1457"/>
    </row>
    <row r="345" spans="1:25" x14ac:dyDescent="0.2">
      <c r="A345" s="2296"/>
      <c r="B345" s="2296"/>
      <c r="C345" s="2296"/>
      <c r="D345" s="2296"/>
      <c r="E345" s="1456"/>
      <c r="R345" s="1457"/>
      <c r="S345" s="1457"/>
      <c r="T345" s="1457"/>
      <c r="U345" s="1457"/>
      <c r="V345" s="1457"/>
      <c r="W345" s="1457"/>
      <c r="X345" s="1457"/>
      <c r="Y345" s="1457"/>
    </row>
    <row r="346" spans="1:25" x14ac:dyDescent="0.2">
      <c r="A346" s="2296"/>
      <c r="B346" s="2296"/>
      <c r="C346" s="2296"/>
      <c r="D346" s="2296"/>
      <c r="E346" s="1456"/>
      <c r="R346" s="1457"/>
      <c r="S346" s="1457"/>
      <c r="T346" s="1457"/>
      <c r="U346" s="1457"/>
      <c r="V346" s="1457"/>
      <c r="W346" s="1457"/>
      <c r="X346" s="1457"/>
      <c r="Y346" s="1457"/>
    </row>
    <row r="347" spans="1:25" x14ac:dyDescent="0.2">
      <c r="A347" s="2296"/>
      <c r="B347" s="2296"/>
      <c r="C347" s="2296"/>
      <c r="D347" s="2296"/>
      <c r="E347" s="1456"/>
      <c r="R347" s="1457"/>
      <c r="S347" s="1457"/>
      <c r="T347" s="1457"/>
      <c r="U347" s="1457"/>
      <c r="V347" s="1457"/>
      <c r="W347" s="1457"/>
      <c r="X347" s="1457"/>
      <c r="Y347" s="1457"/>
    </row>
    <row r="348" spans="1:25" x14ac:dyDescent="0.2">
      <c r="A348" s="2296"/>
      <c r="B348" s="2296"/>
      <c r="C348" s="2296"/>
      <c r="D348" s="2296"/>
      <c r="E348" s="1456"/>
      <c r="R348" s="1457"/>
      <c r="S348" s="1457"/>
      <c r="T348" s="1457"/>
      <c r="U348" s="1457"/>
      <c r="V348" s="1457"/>
      <c r="W348" s="1457"/>
      <c r="X348" s="1457"/>
      <c r="Y348" s="1457"/>
    </row>
    <row r="349" spans="1:25" x14ac:dyDescent="0.2">
      <c r="A349" s="2296"/>
      <c r="B349" s="2296"/>
      <c r="C349" s="2296"/>
      <c r="D349" s="2296"/>
      <c r="E349" s="1456"/>
      <c r="R349" s="1457"/>
      <c r="S349" s="1457"/>
      <c r="T349" s="1457"/>
      <c r="U349" s="1457"/>
      <c r="V349" s="1457"/>
      <c r="W349" s="1457"/>
      <c r="X349" s="1457"/>
      <c r="Y349" s="1457"/>
    </row>
    <row r="350" spans="1:25" x14ac:dyDescent="0.2">
      <c r="A350" s="2296"/>
      <c r="B350" s="2296"/>
      <c r="C350" s="2296"/>
      <c r="D350" s="2296"/>
      <c r="E350" s="1456"/>
      <c r="R350" s="1457"/>
      <c r="S350" s="1457"/>
      <c r="T350" s="1457"/>
      <c r="U350" s="1457"/>
      <c r="V350" s="1457"/>
      <c r="W350" s="1457"/>
      <c r="X350" s="1457"/>
      <c r="Y350" s="1457"/>
    </row>
    <row r="351" spans="1:25" x14ac:dyDescent="0.2">
      <c r="A351" s="2296"/>
      <c r="B351" s="2296"/>
      <c r="C351" s="2296"/>
      <c r="D351" s="2296"/>
      <c r="E351" s="1456"/>
      <c r="R351" s="1457"/>
      <c r="S351" s="1457"/>
      <c r="T351" s="1457"/>
      <c r="U351" s="1457"/>
      <c r="V351" s="1457"/>
      <c r="W351" s="1457"/>
      <c r="X351" s="1457"/>
      <c r="Y351" s="1457"/>
    </row>
    <row r="352" spans="1:25" x14ac:dyDescent="0.2">
      <c r="A352" s="2296"/>
      <c r="B352" s="2296"/>
      <c r="C352" s="2296"/>
      <c r="D352" s="2296"/>
      <c r="E352" s="1456"/>
      <c r="R352" s="1457"/>
      <c r="S352" s="1457"/>
      <c r="T352" s="1457"/>
      <c r="U352" s="1457"/>
      <c r="V352" s="1457"/>
      <c r="W352" s="1457"/>
      <c r="X352" s="1457"/>
      <c r="Y352" s="1457"/>
    </row>
    <row r="353" spans="1:25" x14ac:dyDescent="0.2">
      <c r="A353" s="2296"/>
      <c r="B353" s="2296"/>
      <c r="C353" s="2296"/>
      <c r="D353" s="2296"/>
      <c r="E353" s="1456"/>
      <c r="R353" s="1457"/>
      <c r="S353" s="1457"/>
      <c r="T353" s="1457"/>
      <c r="U353" s="1457"/>
      <c r="V353" s="1457"/>
      <c r="W353" s="1457"/>
      <c r="X353" s="1457"/>
      <c r="Y353" s="1457"/>
    </row>
    <row r="354" spans="1:25" x14ac:dyDescent="0.2">
      <c r="A354" s="2296"/>
      <c r="B354" s="2296"/>
      <c r="C354" s="2296"/>
      <c r="D354" s="2296"/>
      <c r="E354" s="1456"/>
      <c r="R354" s="1457"/>
      <c r="S354" s="1457"/>
      <c r="T354" s="1457"/>
      <c r="U354" s="1457"/>
      <c r="V354" s="1457"/>
      <c r="W354" s="1457"/>
      <c r="X354" s="1457"/>
      <c r="Y354" s="1457"/>
    </row>
    <row r="355" spans="1:25" x14ac:dyDescent="0.2">
      <c r="A355" s="2296"/>
      <c r="B355" s="2296"/>
      <c r="C355" s="2296"/>
      <c r="D355" s="2296"/>
      <c r="E355" s="1456"/>
      <c r="R355" s="1457"/>
      <c r="S355" s="1457"/>
      <c r="T355" s="1457"/>
      <c r="U355" s="1457"/>
      <c r="V355" s="1457"/>
      <c r="W355" s="1457"/>
      <c r="X355" s="1457"/>
      <c r="Y355" s="1457"/>
    </row>
    <row r="356" spans="1:25" x14ac:dyDescent="0.2">
      <c r="A356" s="2296"/>
      <c r="B356" s="2296"/>
      <c r="C356" s="2296"/>
      <c r="D356" s="2296"/>
      <c r="E356" s="1456"/>
      <c r="R356" s="1457"/>
      <c r="S356" s="1457"/>
      <c r="T356" s="1457"/>
      <c r="U356" s="1457"/>
      <c r="V356" s="1457"/>
      <c r="W356" s="1457"/>
      <c r="X356" s="1457"/>
      <c r="Y356" s="1457"/>
    </row>
    <row r="357" spans="1:25" x14ac:dyDescent="0.2">
      <c r="A357" s="2296"/>
      <c r="B357" s="2296"/>
      <c r="C357" s="2296"/>
      <c r="D357" s="2296"/>
      <c r="E357" s="1456"/>
      <c r="R357" s="1457"/>
      <c r="S357" s="1457"/>
      <c r="T357" s="1457"/>
      <c r="U357" s="1457"/>
      <c r="V357" s="1457"/>
      <c r="W357" s="1457"/>
      <c r="X357" s="1457"/>
      <c r="Y357" s="1457"/>
    </row>
    <row r="358" spans="1:25" x14ac:dyDescent="0.2">
      <c r="A358" s="2296"/>
      <c r="B358" s="2296"/>
      <c r="C358" s="2296"/>
      <c r="D358" s="2296"/>
      <c r="E358" s="1456"/>
      <c r="R358" s="1457"/>
      <c r="S358" s="1457"/>
      <c r="T358" s="1457"/>
      <c r="U358" s="1457"/>
      <c r="V358" s="1457"/>
      <c r="W358" s="1457"/>
      <c r="X358" s="1457"/>
      <c r="Y358" s="1457"/>
    </row>
    <row r="359" spans="1:25" x14ac:dyDescent="0.2">
      <c r="A359" s="2296"/>
      <c r="B359" s="2296"/>
      <c r="C359" s="2296"/>
      <c r="D359" s="2296"/>
      <c r="E359" s="1456"/>
      <c r="R359" s="1457"/>
      <c r="S359" s="1457"/>
      <c r="T359" s="1457"/>
      <c r="U359" s="1457"/>
      <c r="V359" s="1457"/>
      <c r="W359" s="1457"/>
      <c r="X359" s="1457"/>
      <c r="Y359" s="1457"/>
    </row>
    <row r="360" spans="1:25" x14ac:dyDescent="0.2">
      <c r="A360" s="2296"/>
      <c r="B360" s="2296"/>
      <c r="C360" s="2296"/>
      <c r="D360" s="2296"/>
      <c r="E360" s="1456"/>
      <c r="R360" s="1457"/>
      <c r="S360" s="1457"/>
      <c r="T360" s="1457"/>
      <c r="U360" s="1457"/>
      <c r="V360" s="1457"/>
      <c r="W360" s="1457"/>
      <c r="X360" s="1457"/>
      <c r="Y360" s="1457"/>
    </row>
    <row r="361" spans="1:25" x14ac:dyDescent="0.2">
      <c r="A361" s="2296"/>
      <c r="B361" s="2296"/>
      <c r="C361" s="2296"/>
      <c r="D361" s="2296"/>
      <c r="E361" s="1456"/>
      <c r="R361" s="1457"/>
      <c r="S361" s="1457"/>
      <c r="T361" s="1457"/>
      <c r="U361" s="1457"/>
      <c r="V361" s="1457"/>
      <c r="W361" s="1457"/>
      <c r="X361" s="1457"/>
      <c r="Y361" s="1457"/>
    </row>
    <row r="362" spans="1:25" x14ac:dyDescent="0.2">
      <c r="A362" s="2296"/>
      <c r="B362" s="2296"/>
      <c r="C362" s="2296"/>
      <c r="D362" s="2296"/>
      <c r="E362" s="1456"/>
      <c r="R362" s="1457"/>
      <c r="S362" s="1457"/>
      <c r="T362" s="1457"/>
      <c r="U362" s="1457"/>
      <c r="V362" s="1457"/>
      <c r="W362" s="1457"/>
      <c r="X362" s="1457"/>
      <c r="Y362" s="1457"/>
    </row>
    <row r="363" spans="1:25" x14ac:dyDescent="0.2">
      <c r="A363" s="2296"/>
      <c r="B363" s="2296"/>
      <c r="C363" s="2296"/>
      <c r="D363" s="2296"/>
      <c r="E363" s="1456"/>
      <c r="R363" s="1457"/>
      <c r="S363" s="1457"/>
      <c r="T363" s="1457"/>
      <c r="U363" s="1457"/>
      <c r="V363" s="1457"/>
      <c r="W363" s="1457"/>
      <c r="X363" s="1457"/>
      <c r="Y363" s="1457"/>
    </row>
    <row r="364" spans="1:25" x14ac:dyDescent="0.2">
      <c r="A364" s="2296"/>
      <c r="B364" s="2296"/>
      <c r="C364" s="2296"/>
      <c r="D364" s="2296"/>
      <c r="E364" s="1456"/>
      <c r="R364" s="1457"/>
      <c r="S364" s="1457"/>
      <c r="T364" s="1457"/>
      <c r="U364" s="1457"/>
      <c r="V364" s="1457"/>
      <c r="W364" s="1457"/>
      <c r="X364" s="1457"/>
      <c r="Y364" s="1457"/>
    </row>
    <row r="365" spans="1:25" x14ac:dyDescent="0.2">
      <c r="A365" s="2296"/>
      <c r="B365" s="2296"/>
      <c r="C365" s="2296"/>
      <c r="D365" s="2296"/>
      <c r="E365" s="1456"/>
      <c r="R365" s="1457"/>
      <c r="S365" s="1457"/>
      <c r="T365" s="1457"/>
      <c r="U365" s="1457"/>
      <c r="V365" s="1457"/>
      <c r="W365" s="1457"/>
      <c r="X365" s="1457"/>
      <c r="Y365" s="1457"/>
    </row>
    <row r="366" spans="1:25" x14ac:dyDescent="0.2">
      <c r="A366" s="2296"/>
      <c r="B366" s="2296"/>
      <c r="C366" s="2296"/>
      <c r="D366" s="2296"/>
      <c r="E366" s="1456"/>
      <c r="R366" s="1457"/>
      <c r="S366" s="1457"/>
      <c r="T366" s="1457"/>
      <c r="U366" s="1457"/>
      <c r="V366" s="1457"/>
      <c r="W366" s="1457"/>
      <c r="X366" s="1457"/>
      <c r="Y366" s="1457"/>
    </row>
    <row r="367" spans="1:25" x14ac:dyDescent="0.2">
      <c r="A367" s="2296"/>
      <c r="B367" s="2296"/>
      <c r="C367" s="2296"/>
      <c r="D367" s="2296"/>
      <c r="E367" s="1456"/>
      <c r="R367" s="1457"/>
      <c r="S367" s="1457"/>
      <c r="T367" s="1457"/>
      <c r="U367" s="1457"/>
      <c r="V367" s="1457"/>
      <c r="W367" s="1457"/>
      <c r="X367" s="1457"/>
      <c r="Y367" s="1457"/>
    </row>
    <row r="368" spans="1:25" x14ac:dyDescent="0.2">
      <c r="A368" s="2296"/>
      <c r="B368" s="2296"/>
      <c r="C368" s="2296"/>
      <c r="D368" s="2296"/>
      <c r="E368" s="1456"/>
      <c r="R368" s="1457"/>
      <c r="S368" s="1457"/>
      <c r="T368" s="1457"/>
      <c r="U368" s="1457"/>
      <c r="V368" s="1457"/>
      <c r="W368" s="1457"/>
      <c r="X368" s="1457"/>
      <c r="Y368" s="1457"/>
    </row>
    <row r="369" spans="1:25" x14ac:dyDescent="0.2">
      <c r="A369" s="2296"/>
      <c r="B369" s="2296"/>
      <c r="C369" s="2296"/>
      <c r="D369" s="2296"/>
      <c r="E369" s="1456"/>
      <c r="R369" s="1457"/>
      <c r="S369" s="1457"/>
      <c r="T369" s="1457"/>
      <c r="U369" s="1457"/>
      <c r="V369" s="1457"/>
      <c r="W369" s="1457"/>
      <c r="X369" s="1457"/>
      <c r="Y369" s="1457"/>
    </row>
    <row r="370" spans="1:25" x14ac:dyDescent="0.2">
      <c r="A370" s="2296"/>
      <c r="B370" s="2296"/>
      <c r="C370" s="2296"/>
      <c r="D370" s="2296"/>
      <c r="E370" s="1456"/>
      <c r="R370" s="1457"/>
      <c r="S370" s="1457"/>
      <c r="T370" s="1457"/>
      <c r="U370" s="1457"/>
      <c r="V370" s="1457"/>
      <c r="W370" s="1457"/>
      <c r="X370" s="1457"/>
      <c r="Y370" s="1457"/>
    </row>
    <row r="371" spans="1:25" x14ac:dyDescent="0.2">
      <c r="A371" s="2296"/>
      <c r="B371" s="2296"/>
      <c r="C371" s="2296"/>
      <c r="D371" s="2296"/>
      <c r="E371" s="1456"/>
      <c r="R371" s="1457"/>
      <c r="S371" s="1457"/>
      <c r="T371" s="1457"/>
      <c r="U371" s="1457"/>
      <c r="V371" s="1457"/>
      <c r="W371" s="1457"/>
      <c r="X371" s="1457"/>
      <c r="Y371" s="1457"/>
    </row>
    <row r="372" spans="1:25" x14ac:dyDescent="0.2">
      <c r="A372" s="2296"/>
      <c r="B372" s="2296"/>
      <c r="C372" s="2296"/>
      <c r="D372" s="2296"/>
      <c r="E372" s="1456"/>
      <c r="R372" s="1457"/>
      <c r="S372" s="1457"/>
      <c r="T372" s="1457"/>
      <c r="U372" s="1457"/>
      <c r="V372" s="1457"/>
      <c r="W372" s="1457"/>
      <c r="X372" s="1457"/>
      <c r="Y372" s="1457"/>
    </row>
    <row r="373" spans="1:25" x14ac:dyDescent="0.2">
      <c r="A373" s="2296"/>
      <c r="B373" s="2296"/>
      <c r="C373" s="2296"/>
      <c r="D373" s="2296"/>
      <c r="E373" s="1456"/>
      <c r="R373" s="1457"/>
      <c r="S373" s="1457"/>
      <c r="T373" s="1457"/>
      <c r="U373" s="1457"/>
      <c r="V373" s="1457"/>
      <c r="W373" s="1457"/>
      <c r="X373" s="1457"/>
      <c r="Y373" s="1457"/>
    </row>
    <row r="374" spans="1:25" x14ac:dyDescent="0.2">
      <c r="A374" s="2296"/>
      <c r="B374" s="2296"/>
      <c r="C374" s="2296"/>
      <c r="D374" s="2296"/>
      <c r="E374" s="1456"/>
      <c r="R374" s="1457"/>
      <c r="S374" s="1457"/>
      <c r="T374" s="1457"/>
      <c r="U374" s="1457"/>
      <c r="V374" s="1457"/>
      <c r="W374" s="1457"/>
      <c r="X374" s="1457"/>
      <c r="Y374" s="1457"/>
    </row>
    <row r="375" spans="1:25" x14ac:dyDescent="0.2">
      <c r="A375" s="2296"/>
      <c r="B375" s="2296"/>
      <c r="C375" s="2296"/>
      <c r="D375" s="2296"/>
      <c r="E375" s="1456"/>
      <c r="R375" s="1457"/>
      <c r="S375" s="1457"/>
      <c r="T375" s="1457"/>
      <c r="U375" s="1457"/>
      <c r="V375" s="1457"/>
      <c r="W375" s="1457"/>
      <c r="X375" s="1457"/>
      <c r="Y375" s="1457"/>
    </row>
    <row r="376" spans="1:25" x14ac:dyDescent="0.2">
      <c r="A376" s="2296"/>
      <c r="B376" s="2296"/>
      <c r="C376" s="2296"/>
      <c r="D376" s="2296"/>
      <c r="E376" s="1456"/>
      <c r="R376" s="1457"/>
      <c r="S376" s="1457"/>
      <c r="T376" s="1457"/>
      <c r="U376" s="1457"/>
      <c r="V376" s="1457"/>
      <c r="W376" s="1457"/>
      <c r="X376" s="1457"/>
      <c r="Y376" s="1457"/>
    </row>
    <row r="377" spans="1:25" x14ac:dyDescent="0.2">
      <c r="A377" s="2296"/>
      <c r="B377" s="2296"/>
      <c r="C377" s="2296"/>
      <c r="D377" s="2296"/>
      <c r="E377" s="1456"/>
      <c r="R377" s="1457"/>
      <c r="S377" s="1457"/>
      <c r="T377" s="1457"/>
      <c r="U377" s="1457"/>
      <c r="V377" s="1457"/>
      <c r="W377" s="1457"/>
      <c r="X377" s="1457"/>
      <c r="Y377" s="1457"/>
    </row>
    <row r="378" spans="1:25" x14ac:dyDescent="0.2">
      <c r="A378" s="2296"/>
      <c r="B378" s="2296"/>
      <c r="C378" s="2296"/>
      <c r="D378" s="2296"/>
      <c r="E378" s="1456"/>
      <c r="R378" s="1457"/>
      <c r="S378" s="1457"/>
      <c r="T378" s="1457"/>
      <c r="U378" s="1457"/>
      <c r="V378" s="1457"/>
      <c r="W378" s="1457"/>
      <c r="X378" s="1457"/>
      <c r="Y378" s="1457"/>
    </row>
    <row r="379" spans="1:25" x14ac:dyDescent="0.2">
      <c r="A379" s="2296"/>
      <c r="B379" s="2296"/>
      <c r="C379" s="2296"/>
      <c r="D379" s="2296"/>
      <c r="E379" s="1456"/>
      <c r="R379" s="1457"/>
      <c r="S379" s="1457"/>
      <c r="T379" s="1457"/>
      <c r="U379" s="1457"/>
      <c r="V379" s="1457"/>
      <c r="W379" s="1457"/>
      <c r="X379" s="1457"/>
      <c r="Y379" s="1457"/>
    </row>
    <row r="380" spans="1:25" x14ac:dyDescent="0.2">
      <c r="A380" s="2296"/>
      <c r="B380" s="2296"/>
      <c r="C380" s="2296"/>
      <c r="D380" s="2296"/>
      <c r="E380" s="1456"/>
      <c r="R380" s="1457"/>
      <c r="S380" s="1457"/>
      <c r="T380" s="1457"/>
      <c r="U380" s="1457"/>
      <c r="V380" s="1457"/>
      <c r="W380" s="1457"/>
      <c r="X380" s="1457"/>
      <c r="Y380" s="1457"/>
    </row>
    <row r="381" spans="1:25" x14ac:dyDescent="0.2">
      <c r="A381" s="2296"/>
      <c r="B381" s="2296"/>
      <c r="C381" s="2296"/>
      <c r="D381" s="2296"/>
      <c r="E381" s="1456"/>
      <c r="R381" s="1457"/>
      <c r="S381" s="1457"/>
      <c r="T381" s="1457"/>
      <c r="U381" s="1457"/>
      <c r="V381" s="1457"/>
      <c r="W381" s="1457"/>
      <c r="X381" s="1457"/>
      <c r="Y381" s="1457"/>
    </row>
    <row r="382" spans="1:25" x14ac:dyDescent="0.2">
      <c r="A382" s="2296"/>
      <c r="B382" s="2296"/>
      <c r="C382" s="2296"/>
      <c r="D382" s="2296"/>
      <c r="E382" s="1456"/>
      <c r="R382" s="1457"/>
      <c r="S382" s="1457"/>
      <c r="T382" s="1457"/>
      <c r="U382" s="1457"/>
      <c r="V382" s="1457"/>
      <c r="W382" s="1457"/>
      <c r="X382" s="1457"/>
      <c r="Y382" s="1457"/>
    </row>
    <row r="383" spans="1:25" x14ac:dyDescent="0.2">
      <c r="A383" s="2296"/>
      <c r="B383" s="2296"/>
      <c r="C383" s="2296"/>
      <c r="D383" s="2296"/>
      <c r="E383" s="1456"/>
      <c r="R383" s="1457"/>
      <c r="S383" s="1457"/>
      <c r="T383" s="1457"/>
      <c r="U383" s="1457"/>
      <c r="V383" s="1457"/>
      <c r="W383" s="1457"/>
      <c r="X383" s="1457"/>
      <c r="Y383" s="1457"/>
    </row>
    <row r="384" spans="1:25" x14ac:dyDescent="0.2">
      <c r="A384" s="2296"/>
      <c r="B384" s="2296"/>
      <c r="C384" s="2296"/>
      <c r="D384" s="2296"/>
      <c r="E384" s="1456"/>
      <c r="R384" s="1457"/>
      <c r="S384" s="1457"/>
      <c r="T384" s="1457"/>
      <c r="U384" s="1457"/>
      <c r="V384" s="1457"/>
      <c r="W384" s="1457"/>
      <c r="X384" s="1457"/>
      <c r="Y384" s="1457"/>
    </row>
    <row r="385" spans="1:25" x14ac:dyDescent="0.2">
      <c r="A385" s="2296"/>
      <c r="B385" s="2296"/>
      <c r="C385" s="2296"/>
      <c r="D385" s="2296"/>
      <c r="E385" s="1456"/>
      <c r="R385" s="1457"/>
      <c r="S385" s="1457"/>
      <c r="T385" s="1457"/>
      <c r="U385" s="1457"/>
      <c r="V385" s="1457"/>
      <c r="W385" s="1457"/>
      <c r="X385" s="1457"/>
      <c r="Y385" s="1457"/>
    </row>
    <row r="386" spans="1:25" x14ac:dyDescent="0.2">
      <c r="A386" s="2296"/>
      <c r="B386" s="2296"/>
      <c r="C386" s="2296"/>
      <c r="D386" s="2296"/>
      <c r="E386" s="1456"/>
      <c r="R386" s="1457"/>
      <c r="S386" s="1457"/>
      <c r="T386" s="1457"/>
      <c r="U386" s="1457"/>
      <c r="V386" s="1457"/>
      <c r="W386" s="1457"/>
      <c r="X386" s="1457"/>
      <c r="Y386" s="1457"/>
    </row>
    <row r="387" spans="1:25" x14ac:dyDescent="0.2">
      <c r="A387" s="2296"/>
      <c r="B387" s="2296"/>
      <c r="C387" s="2296"/>
      <c r="D387" s="2296"/>
      <c r="E387" s="1456"/>
      <c r="R387" s="1457"/>
      <c r="S387" s="1457"/>
      <c r="T387" s="1457"/>
      <c r="U387" s="1457"/>
      <c r="V387" s="1457"/>
      <c r="W387" s="1457"/>
      <c r="X387" s="1457"/>
      <c r="Y387" s="1457"/>
    </row>
    <row r="388" spans="1:25" x14ac:dyDescent="0.2">
      <c r="A388" s="2296"/>
      <c r="B388" s="2296"/>
      <c r="C388" s="2296"/>
      <c r="D388" s="2296"/>
      <c r="E388" s="1456"/>
      <c r="R388" s="1457"/>
      <c r="S388" s="1457"/>
      <c r="T388" s="1457"/>
      <c r="U388" s="1457"/>
      <c r="V388" s="1457"/>
      <c r="W388" s="1457"/>
      <c r="X388" s="1457"/>
      <c r="Y388" s="1457"/>
    </row>
    <row r="389" spans="1:25" x14ac:dyDescent="0.2">
      <c r="A389" s="2296"/>
      <c r="B389" s="2296"/>
      <c r="C389" s="2296"/>
      <c r="D389" s="2296"/>
      <c r="E389" s="1456"/>
      <c r="R389" s="1457"/>
      <c r="S389" s="1457"/>
      <c r="T389" s="1457"/>
      <c r="U389" s="1457"/>
      <c r="V389" s="1457"/>
      <c r="W389" s="1457"/>
      <c r="X389" s="1457"/>
      <c r="Y389" s="1457"/>
    </row>
    <row r="390" spans="1:25" x14ac:dyDescent="0.2">
      <c r="A390" s="2296"/>
      <c r="B390" s="2296"/>
      <c r="C390" s="2296"/>
      <c r="D390" s="2296"/>
      <c r="E390" s="1456"/>
      <c r="R390" s="1457"/>
      <c r="S390" s="1457"/>
      <c r="T390" s="1457"/>
      <c r="U390" s="1457"/>
      <c r="V390" s="1457"/>
      <c r="W390" s="1457"/>
      <c r="X390" s="1457"/>
      <c r="Y390" s="1457"/>
    </row>
    <row r="391" spans="1:25" x14ac:dyDescent="0.2">
      <c r="A391" s="2296"/>
      <c r="B391" s="2296"/>
      <c r="C391" s="2296"/>
      <c r="D391" s="2296"/>
      <c r="E391" s="1456"/>
      <c r="R391" s="1457"/>
      <c r="S391" s="1457"/>
      <c r="T391" s="1457"/>
      <c r="U391" s="1457"/>
      <c r="V391" s="1457"/>
      <c r="W391" s="1457"/>
      <c r="X391" s="1457"/>
      <c r="Y391" s="1457"/>
    </row>
    <row r="392" spans="1:25" x14ac:dyDescent="0.2">
      <c r="A392" s="2296"/>
      <c r="B392" s="2296"/>
      <c r="C392" s="2296"/>
      <c r="D392" s="2296"/>
      <c r="E392" s="1456"/>
      <c r="R392" s="1457"/>
      <c r="S392" s="1457"/>
      <c r="T392" s="1457"/>
      <c r="U392" s="1457"/>
      <c r="V392" s="1457"/>
      <c r="W392" s="1457"/>
      <c r="X392" s="1457"/>
      <c r="Y392" s="1457"/>
    </row>
    <row r="393" spans="1:25" x14ac:dyDescent="0.2">
      <c r="A393" s="2296"/>
      <c r="B393" s="2296"/>
      <c r="C393" s="2296"/>
      <c r="D393" s="2296"/>
      <c r="E393" s="1456"/>
      <c r="R393" s="1457"/>
      <c r="S393" s="1457"/>
      <c r="T393" s="1457"/>
      <c r="U393" s="1457"/>
      <c r="V393" s="1457"/>
      <c r="W393" s="1457"/>
      <c r="X393" s="1457"/>
      <c r="Y393" s="1457"/>
    </row>
    <row r="394" spans="1:25" x14ac:dyDescent="0.2">
      <c r="A394" s="2296"/>
      <c r="B394" s="2296"/>
      <c r="C394" s="2296"/>
      <c r="D394" s="2296"/>
      <c r="E394" s="1456"/>
      <c r="R394" s="1457"/>
      <c r="S394" s="1457"/>
      <c r="T394" s="1457"/>
      <c r="U394" s="1457"/>
      <c r="V394" s="1457"/>
      <c r="W394" s="1457"/>
      <c r="X394" s="1457"/>
      <c r="Y394" s="1457"/>
    </row>
    <row r="395" spans="1:25" x14ac:dyDescent="0.2">
      <c r="A395" s="2296"/>
      <c r="B395" s="2296"/>
      <c r="C395" s="2296"/>
      <c r="D395" s="2296"/>
      <c r="E395" s="1456"/>
      <c r="R395" s="1457"/>
      <c r="S395" s="1457"/>
      <c r="T395" s="1457"/>
      <c r="U395" s="1457"/>
      <c r="V395" s="1457"/>
      <c r="W395" s="1457"/>
      <c r="X395" s="1457"/>
      <c r="Y395" s="1457"/>
    </row>
    <row r="396" spans="1:25" x14ac:dyDescent="0.2">
      <c r="A396" s="2296"/>
      <c r="B396" s="2296"/>
      <c r="C396" s="2296"/>
      <c r="D396" s="2296"/>
      <c r="E396" s="1456"/>
      <c r="R396" s="1457"/>
      <c r="S396" s="1457"/>
      <c r="T396" s="1457"/>
      <c r="U396" s="1457"/>
      <c r="V396" s="1457"/>
      <c r="W396" s="1457"/>
      <c r="X396" s="1457"/>
      <c r="Y396" s="1457"/>
    </row>
    <row r="397" spans="1:25" x14ac:dyDescent="0.2">
      <c r="A397" s="2296"/>
      <c r="B397" s="2296"/>
      <c r="C397" s="2296"/>
      <c r="D397" s="2296"/>
      <c r="E397" s="1456"/>
      <c r="R397" s="1457"/>
      <c r="S397" s="1457"/>
      <c r="T397" s="1457"/>
      <c r="U397" s="1457"/>
      <c r="V397" s="1457"/>
      <c r="W397" s="1457"/>
      <c r="X397" s="1457"/>
      <c r="Y397" s="1457"/>
    </row>
    <row r="398" spans="1:25" x14ac:dyDescent="0.2">
      <c r="A398" s="2296"/>
      <c r="B398" s="2296"/>
      <c r="C398" s="2296"/>
      <c r="D398" s="2296"/>
      <c r="E398" s="1456"/>
      <c r="R398" s="1457"/>
      <c r="S398" s="1457"/>
      <c r="T398" s="1457"/>
      <c r="U398" s="1457"/>
      <c r="V398" s="1457"/>
      <c r="W398" s="1457"/>
      <c r="X398" s="1457"/>
      <c r="Y398" s="1457"/>
    </row>
    <row r="399" spans="1:25" x14ac:dyDescent="0.2">
      <c r="A399" s="2296"/>
      <c r="B399" s="2296"/>
      <c r="C399" s="2296"/>
      <c r="D399" s="2296"/>
      <c r="E399" s="1456"/>
      <c r="R399" s="1457"/>
      <c r="S399" s="1457"/>
      <c r="T399" s="1457"/>
      <c r="U399" s="1457"/>
      <c r="V399" s="1457"/>
      <c r="W399" s="1457"/>
      <c r="X399" s="1457"/>
      <c r="Y399" s="1457"/>
    </row>
    <row r="400" spans="1:25" x14ac:dyDescent="0.2">
      <c r="A400" s="2296"/>
      <c r="B400" s="2296"/>
      <c r="C400" s="2296"/>
      <c r="D400" s="2296"/>
      <c r="E400" s="1456"/>
      <c r="R400" s="1457"/>
      <c r="S400" s="1457"/>
      <c r="T400" s="1457"/>
      <c r="U400" s="1457"/>
      <c r="V400" s="1457"/>
      <c r="W400" s="1457"/>
      <c r="X400" s="1457"/>
      <c r="Y400" s="1457"/>
    </row>
    <row r="401" spans="1:25" x14ac:dyDescent="0.2">
      <c r="A401" s="2296"/>
      <c r="B401" s="2296"/>
      <c r="C401" s="2296"/>
      <c r="D401" s="2296"/>
      <c r="E401" s="1456"/>
      <c r="R401" s="1457"/>
      <c r="S401" s="1457"/>
      <c r="T401" s="1457"/>
      <c r="U401" s="1457"/>
      <c r="V401" s="1457"/>
      <c r="W401" s="1457"/>
      <c r="X401" s="1457"/>
      <c r="Y401" s="1457"/>
    </row>
    <row r="402" spans="1:25" x14ac:dyDescent="0.2">
      <c r="A402" s="2296"/>
      <c r="B402" s="2296"/>
      <c r="C402" s="2296"/>
      <c r="D402" s="2296"/>
      <c r="E402" s="1456"/>
      <c r="R402" s="1457"/>
      <c r="S402" s="1457"/>
      <c r="T402" s="1457"/>
      <c r="U402" s="1457"/>
      <c r="V402" s="1457"/>
      <c r="W402" s="1457"/>
      <c r="X402" s="1457"/>
      <c r="Y402" s="1457"/>
    </row>
    <row r="403" spans="1:25" x14ac:dyDescent="0.2">
      <c r="A403" s="2296"/>
      <c r="B403" s="2296"/>
      <c r="C403" s="2296"/>
      <c r="D403" s="2296"/>
      <c r="E403" s="1456"/>
      <c r="R403" s="1457"/>
      <c r="S403" s="1457"/>
      <c r="T403" s="1457"/>
      <c r="U403" s="1457"/>
      <c r="V403" s="1457"/>
      <c r="W403" s="1457"/>
      <c r="X403" s="1457"/>
      <c r="Y403" s="1457"/>
    </row>
    <row r="404" spans="1:25" x14ac:dyDescent="0.2">
      <c r="A404" s="2296"/>
      <c r="B404" s="2296"/>
      <c r="C404" s="2296"/>
      <c r="D404" s="2296"/>
      <c r="E404" s="1456"/>
      <c r="R404" s="1457"/>
      <c r="S404" s="1457"/>
      <c r="T404" s="1457"/>
      <c r="U404" s="1457"/>
      <c r="V404" s="1457"/>
      <c r="W404" s="1457"/>
      <c r="X404" s="1457"/>
      <c r="Y404" s="1457"/>
    </row>
    <row r="405" spans="1:25" x14ac:dyDescent="0.2">
      <c r="A405" s="2296"/>
      <c r="B405" s="2296"/>
      <c r="C405" s="2296"/>
      <c r="D405" s="2296"/>
      <c r="E405" s="1456"/>
      <c r="R405" s="1457"/>
      <c r="S405" s="1457"/>
      <c r="T405" s="1457"/>
      <c r="U405" s="1457"/>
      <c r="V405" s="1457"/>
      <c r="W405" s="1457"/>
      <c r="X405" s="1457"/>
      <c r="Y405" s="1457"/>
    </row>
    <row r="406" spans="1:25" x14ac:dyDescent="0.2">
      <c r="A406" s="2296"/>
      <c r="B406" s="2296"/>
      <c r="C406" s="2296"/>
      <c r="D406" s="2296"/>
      <c r="E406" s="1456"/>
      <c r="R406" s="1457"/>
      <c r="S406" s="1457"/>
      <c r="T406" s="1457"/>
      <c r="U406" s="1457"/>
      <c r="V406" s="1457"/>
      <c r="W406" s="1457"/>
      <c r="X406" s="1457"/>
      <c r="Y406" s="1457"/>
    </row>
    <row r="407" spans="1:25" x14ac:dyDescent="0.2">
      <c r="A407" s="2296"/>
      <c r="B407" s="2296"/>
      <c r="C407" s="2296"/>
      <c r="D407" s="2296"/>
      <c r="E407" s="1456"/>
      <c r="R407" s="1457"/>
      <c r="S407" s="1457"/>
      <c r="T407" s="1457"/>
      <c r="U407" s="1457"/>
      <c r="V407" s="1457"/>
      <c r="W407" s="1457"/>
      <c r="X407" s="1457"/>
      <c r="Y407" s="1457"/>
    </row>
    <row r="408" spans="1:25" x14ac:dyDescent="0.2">
      <c r="A408" s="2296"/>
      <c r="B408" s="2296"/>
      <c r="C408" s="2296"/>
      <c r="D408" s="2296"/>
      <c r="E408" s="1456"/>
      <c r="R408" s="1457"/>
      <c r="S408" s="1457"/>
      <c r="T408" s="1457"/>
      <c r="U408" s="1457"/>
      <c r="V408" s="1457"/>
      <c r="W408" s="1457"/>
      <c r="X408" s="1457"/>
      <c r="Y408" s="1457"/>
    </row>
    <row r="409" spans="1:25" x14ac:dyDescent="0.2">
      <c r="A409" s="2296"/>
      <c r="B409" s="2296"/>
      <c r="C409" s="2296"/>
      <c r="D409" s="2296"/>
      <c r="E409" s="1456"/>
      <c r="R409" s="1457"/>
      <c r="S409" s="1457"/>
      <c r="T409" s="1457"/>
      <c r="U409" s="1457"/>
      <c r="V409" s="1457"/>
      <c r="W409" s="1457"/>
      <c r="X409" s="1457"/>
      <c r="Y409" s="1457"/>
    </row>
    <row r="410" spans="1:25" x14ac:dyDescent="0.2">
      <c r="A410" s="2296"/>
      <c r="B410" s="2296"/>
      <c r="C410" s="2296"/>
      <c r="D410" s="2296"/>
      <c r="E410" s="1456"/>
      <c r="R410" s="1457"/>
      <c r="S410" s="1457"/>
      <c r="T410" s="1457"/>
      <c r="U410" s="1457"/>
      <c r="V410" s="1457"/>
      <c r="W410" s="1457"/>
      <c r="X410" s="1457"/>
      <c r="Y410" s="1457"/>
    </row>
    <row r="411" spans="1:25" x14ac:dyDescent="0.2">
      <c r="A411" s="2296"/>
      <c r="B411" s="2296"/>
      <c r="C411" s="2296"/>
      <c r="D411" s="2296"/>
      <c r="E411" s="1456"/>
      <c r="R411" s="1457"/>
      <c r="S411" s="1457"/>
      <c r="T411" s="1457"/>
      <c r="U411" s="1457"/>
      <c r="V411" s="1457"/>
      <c r="W411" s="1457"/>
      <c r="X411" s="1457"/>
      <c r="Y411" s="1457"/>
    </row>
    <row r="412" spans="1:25" x14ac:dyDescent="0.2">
      <c r="A412" s="2296"/>
      <c r="B412" s="2296"/>
      <c r="C412" s="2296"/>
      <c r="D412" s="2296"/>
      <c r="E412" s="1456"/>
      <c r="R412" s="1457"/>
      <c r="S412" s="1457"/>
      <c r="T412" s="1457"/>
      <c r="U412" s="1457"/>
      <c r="V412" s="1457"/>
      <c r="W412" s="1457"/>
      <c r="X412" s="1457"/>
      <c r="Y412" s="1457"/>
    </row>
    <row r="413" spans="1:25" x14ac:dyDescent="0.2">
      <c r="A413" s="2296"/>
      <c r="B413" s="2296"/>
      <c r="C413" s="2296"/>
      <c r="D413" s="2296"/>
      <c r="E413" s="1456"/>
      <c r="R413" s="1457"/>
      <c r="S413" s="1457"/>
      <c r="T413" s="1457"/>
      <c r="U413" s="1457"/>
      <c r="V413" s="1457"/>
      <c r="W413" s="1457"/>
      <c r="X413" s="1457"/>
      <c r="Y413" s="1457"/>
    </row>
    <row r="414" spans="1:25" x14ac:dyDescent="0.2">
      <c r="A414" s="2296"/>
      <c r="B414" s="2296"/>
      <c r="C414" s="2296"/>
      <c r="D414" s="2296"/>
      <c r="E414" s="1456"/>
      <c r="R414" s="1457"/>
      <c r="S414" s="1457"/>
      <c r="T414" s="1457"/>
      <c r="U414" s="1457"/>
      <c r="V414" s="1457"/>
      <c r="W414" s="1457"/>
      <c r="X414" s="1457"/>
      <c r="Y414" s="1457"/>
    </row>
    <row r="415" spans="1:25" x14ac:dyDescent="0.2">
      <c r="A415" s="2296"/>
      <c r="B415" s="2296"/>
      <c r="C415" s="2296"/>
      <c r="D415" s="2296"/>
      <c r="E415" s="1456"/>
      <c r="R415" s="1457"/>
      <c r="S415" s="1457"/>
      <c r="T415" s="1457"/>
      <c r="U415" s="1457"/>
      <c r="V415" s="1457"/>
      <c r="W415" s="1457"/>
      <c r="X415" s="1457"/>
      <c r="Y415" s="1457"/>
    </row>
    <row r="416" spans="1:25" x14ac:dyDescent="0.2">
      <c r="A416" s="2296"/>
      <c r="B416" s="2296"/>
      <c r="C416" s="2296"/>
      <c r="D416" s="2296"/>
      <c r="E416" s="1456"/>
      <c r="R416" s="1457"/>
      <c r="S416" s="1457"/>
      <c r="T416" s="1457"/>
      <c r="U416" s="1457"/>
      <c r="V416" s="1457"/>
      <c r="W416" s="1457"/>
      <c r="X416" s="1457"/>
      <c r="Y416" s="1457"/>
    </row>
    <row r="417" spans="1:25" x14ac:dyDescent="0.2">
      <c r="A417" s="2296"/>
      <c r="B417" s="2296"/>
      <c r="C417" s="2296"/>
      <c r="D417" s="2296"/>
      <c r="E417" s="1456"/>
      <c r="R417" s="1457"/>
      <c r="S417" s="1457"/>
      <c r="T417" s="1457"/>
      <c r="U417" s="1457"/>
      <c r="V417" s="1457"/>
      <c r="W417" s="1457"/>
      <c r="X417" s="1457"/>
      <c r="Y417" s="1457"/>
    </row>
    <row r="418" spans="1:25" x14ac:dyDescent="0.2">
      <c r="A418" s="2296"/>
      <c r="B418" s="2296"/>
      <c r="C418" s="2296"/>
      <c r="D418" s="2296"/>
      <c r="E418" s="1456"/>
      <c r="R418" s="1457"/>
      <c r="S418" s="1457"/>
      <c r="T418" s="1457"/>
      <c r="U418" s="1457"/>
      <c r="V418" s="1457"/>
      <c r="W418" s="1457"/>
      <c r="X418" s="1457"/>
      <c r="Y418" s="1457"/>
    </row>
    <row r="419" spans="1:25" x14ac:dyDescent="0.2">
      <c r="A419" s="2296"/>
      <c r="B419" s="2296"/>
      <c r="C419" s="2296"/>
      <c r="D419" s="2296"/>
      <c r="E419" s="1456"/>
      <c r="R419" s="1457"/>
      <c r="S419" s="1457"/>
      <c r="T419" s="1457"/>
      <c r="U419" s="1457"/>
      <c r="V419" s="1457"/>
      <c r="W419" s="1457"/>
      <c r="X419" s="1457"/>
      <c r="Y419" s="1457"/>
    </row>
    <row r="420" spans="1:25" x14ac:dyDescent="0.2">
      <c r="A420" s="2296"/>
      <c r="B420" s="2296"/>
      <c r="C420" s="2296"/>
      <c r="D420" s="2296"/>
      <c r="E420" s="1456"/>
      <c r="R420" s="1457"/>
      <c r="S420" s="1457"/>
      <c r="T420" s="1457"/>
      <c r="U420" s="1457"/>
      <c r="V420" s="1457"/>
      <c r="W420" s="1457"/>
      <c r="X420" s="1457"/>
      <c r="Y420" s="1457"/>
    </row>
    <row r="421" spans="1:25" x14ac:dyDescent="0.2">
      <c r="A421" s="2296"/>
      <c r="B421" s="2296"/>
      <c r="C421" s="2296"/>
      <c r="D421" s="2296"/>
      <c r="E421" s="1456"/>
      <c r="R421" s="1457"/>
      <c r="S421" s="1457"/>
      <c r="T421" s="1457"/>
      <c r="U421" s="1457"/>
      <c r="V421" s="1457"/>
      <c r="W421" s="1457"/>
      <c r="X421" s="1457"/>
      <c r="Y421" s="1457"/>
    </row>
    <row r="422" spans="1:25" x14ac:dyDescent="0.2">
      <c r="A422" s="2296"/>
      <c r="B422" s="2296"/>
      <c r="C422" s="2296"/>
      <c r="D422" s="2296"/>
      <c r="E422" s="1456"/>
      <c r="R422" s="1457"/>
      <c r="S422" s="1457"/>
      <c r="T422" s="1457"/>
      <c r="U422" s="1457"/>
      <c r="V422" s="1457"/>
      <c r="W422" s="1457"/>
      <c r="X422" s="1457"/>
      <c r="Y422" s="1457"/>
    </row>
    <row r="423" spans="1:25" x14ac:dyDescent="0.2">
      <c r="A423" s="2296"/>
      <c r="B423" s="2296"/>
      <c r="C423" s="2296"/>
      <c r="D423" s="2296"/>
      <c r="E423" s="1456"/>
      <c r="R423" s="1457"/>
      <c r="S423" s="1457"/>
      <c r="T423" s="1457"/>
      <c r="U423" s="1457"/>
      <c r="V423" s="1457"/>
      <c r="W423" s="1457"/>
      <c r="X423" s="1457"/>
      <c r="Y423" s="1457"/>
    </row>
    <row r="424" spans="1:25" x14ac:dyDescent="0.2">
      <c r="A424" s="2296"/>
      <c r="B424" s="2296"/>
      <c r="C424" s="2296"/>
      <c r="D424" s="2296"/>
      <c r="E424" s="1456"/>
      <c r="R424" s="1457"/>
      <c r="S424" s="1457"/>
      <c r="T424" s="1457"/>
      <c r="U424" s="1457"/>
      <c r="V424" s="1457"/>
      <c r="W424" s="1457"/>
      <c r="X424" s="1457"/>
      <c r="Y424" s="1457"/>
    </row>
    <row r="425" spans="1:25" x14ac:dyDescent="0.2">
      <c r="A425" s="2296"/>
      <c r="B425" s="2296"/>
      <c r="C425" s="2296"/>
      <c r="D425" s="2296"/>
      <c r="E425" s="1456"/>
      <c r="R425" s="1457"/>
      <c r="S425" s="1457"/>
      <c r="T425" s="1457"/>
      <c r="U425" s="1457"/>
      <c r="V425" s="1457"/>
      <c r="W425" s="1457"/>
      <c r="X425" s="1457"/>
      <c r="Y425" s="1457"/>
    </row>
    <row r="426" spans="1:25" x14ac:dyDescent="0.2">
      <c r="A426" s="2296"/>
      <c r="B426" s="2296"/>
      <c r="C426" s="2296"/>
      <c r="D426" s="2296"/>
      <c r="E426" s="1456"/>
      <c r="R426" s="1457"/>
      <c r="S426" s="1457"/>
      <c r="T426" s="1457"/>
      <c r="U426" s="1457"/>
      <c r="V426" s="1457"/>
      <c r="W426" s="1457"/>
      <c r="X426" s="1457"/>
      <c r="Y426" s="1457"/>
    </row>
    <row r="427" spans="1:25" x14ac:dyDescent="0.2">
      <c r="A427" s="2296"/>
      <c r="B427" s="2296"/>
      <c r="C427" s="2296"/>
      <c r="D427" s="2296"/>
      <c r="E427" s="1456"/>
      <c r="R427" s="1457"/>
      <c r="S427" s="1457"/>
      <c r="T427" s="1457"/>
      <c r="U427" s="1457"/>
      <c r="V427" s="1457"/>
      <c r="W427" s="1457"/>
      <c r="X427" s="1457"/>
      <c r="Y427" s="1457"/>
    </row>
    <row r="428" spans="1:25" x14ac:dyDescent="0.2">
      <c r="A428" s="2296"/>
      <c r="B428" s="2296"/>
      <c r="C428" s="2296"/>
      <c r="D428" s="2296"/>
      <c r="E428" s="1456"/>
      <c r="R428" s="1457"/>
      <c r="S428" s="1457"/>
      <c r="T428" s="1457"/>
      <c r="U428" s="1457"/>
      <c r="V428" s="1457"/>
      <c r="W428" s="1457"/>
      <c r="X428" s="1457"/>
      <c r="Y428" s="1457"/>
    </row>
    <row r="429" spans="1:25" x14ac:dyDescent="0.2">
      <c r="A429" s="2296"/>
      <c r="B429" s="2296"/>
      <c r="C429" s="2296"/>
      <c r="D429" s="2296"/>
      <c r="E429" s="1456"/>
      <c r="R429" s="1457"/>
      <c r="S429" s="1457"/>
      <c r="T429" s="1457"/>
      <c r="U429" s="1457"/>
      <c r="V429" s="1457"/>
      <c r="W429" s="1457"/>
      <c r="X429" s="1457"/>
      <c r="Y429" s="1457"/>
    </row>
    <row r="430" spans="1:25" x14ac:dyDescent="0.2">
      <c r="A430" s="2296"/>
      <c r="B430" s="2296"/>
      <c r="C430" s="2296"/>
      <c r="D430" s="2296"/>
      <c r="E430" s="1456"/>
      <c r="R430" s="1457"/>
      <c r="S430" s="1457"/>
      <c r="T430" s="1457"/>
      <c r="U430" s="1457"/>
      <c r="V430" s="1457"/>
      <c r="W430" s="1457"/>
      <c r="X430" s="1457"/>
      <c r="Y430" s="1457"/>
    </row>
    <row r="431" spans="1:25" x14ac:dyDescent="0.2">
      <c r="A431" s="2296"/>
      <c r="B431" s="2296"/>
      <c r="C431" s="2296"/>
      <c r="D431" s="2296"/>
      <c r="E431" s="1456"/>
      <c r="R431" s="1457"/>
      <c r="S431" s="1457"/>
      <c r="T431" s="1457"/>
      <c r="U431" s="1457"/>
      <c r="V431" s="1457"/>
      <c r="W431" s="1457"/>
      <c r="X431" s="1457"/>
      <c r="Y431" s="1457"/>
    </row>
    <row r="432" spans="1:25" x14ac:dyDescent="0.2">
      <c r="A432" s="2296"/>
      <c r="B432" s="2296"/>
      <c r="C432" s="2296"/>
      <c r="D432" s="2296"/>
      <c r="E432" s="1456"/>
      <c r="R432" s="1457"/>
      <c r="S432" s="1457"/>
      <c r="T432" s="1457"/>
      <c r="U432" s="1457"/>
      <c r="V432" s="1457"/>
      <c r="W432" s="1457"/>
      <c r="X432" s="1457"/>
      <c r="Y432" s="1457"/>
    </row>
    <row r="433" spans="1:25" x14ac:dyDescent="0.2">
      <c r="A433" s="2296"/>
      <c r="B433" s="2296"/>
      <c r="C433" s="2296"/>
      <c r="D433" s="2296"/>
      <c r="E433" s="1456"/>
      <c r="R433" s="1457"/>
      <c r="S433" s="1457"/>
      <c r="T433" s="1457"/>
      <c r="U433" s="1457"/>
      <c r="V433" s="1457"/>
      <c r="W433" s="1457"/>
      <c r="X433" s="1457"/>
      <c r="Y433" s="1457"/>
    </row>
    <row r="434" spans="1:25" x14ac:dyDescent="0.2">
      <c r="A434" s="2296"/>
      <c r="B434" s="2296"/>
      <c r="C434" s="2296"/>
      <c r="D434" s="2296"/>
      <c r="E434" s="1456"/>
      <c r="R434" s="1457"/>
      <c r="S434" s="1457"/>
      <c r="T434" s="1457"/>
      <c r="U434" s="1457"/>
      <c r="V434" s="1457"/>
      <c r="W434" s="1457"/>
      <c r="X434" s="1457"/>
      <c r="Y434" s="1457"/>
    </row>
    <row r="435" spans="1:25" x14ac:dyDescent="0.2">
      <c r="A435" s="2296"/>
      <c r="B435" s="2296"/>
      <c r="C435" s="2296"/>
      <c r="D435" s="2296"/>
      <c r="E435" s="1456"/>
      <c r="R435" s="1457"/>
      <c r="S435" s="1457"/>
      <c r="T435" s="1457"/>
      <c r="U435" s="1457"/>
      <c r="V435" s="1457"/>
      <c r="W435" s="1457"/>
      <c r="X435" s="1457"/>
      <c r="Y435" s="1457"/>
    </row>
    <row r="436" spans="1:25" x14ac:dyDescent="0.2">
      <c r="A436" s="2296"/>
      <c r="B436" s="2296"/>
      <c r="C436" s="2296"/>
      <c r="D436" s="2296"/>
      <c r="E436" s="1456"/>
      <c r="R436" s="1457"/>
      <c r="S436" s="1457"/>
      <c r="T436" s="1457"/>
      <c r="U436" s="1457"/>
      <c r="V436" s="1457"/>
      <c r="W436" s="1457"/>
      <c r="X436" s="1457"/>
      <c r="Y436" s="1457"/>
    </row>
    <row r="437" spans="1:25" x14ac:dyDescent="0.2">
      <c r="A437" s="2296"/>
      <c r="B437" s="2296"/>
      <c r="C437" s="2296"/>
      <c r="D437" s="2296"/>
      <c r="E437" s="1456"/>
      <c r="R437" s="1457"/>
      <c r="S437" s="1457"/>
      <c r="T437" s="1457"/>
      <c r="U437" s="1457"/>
      <c r="V437" s="1457"/>
      <c r="W437" s="1457"/>
      <c r="X437" s="1457"/>
      <c r="Y437" s="1457"/>
    </row>
    <row r="438" spans="1:25" x14ac:dyDescent="0.2">
      <c r="A438" s="2296"/>
      <c r="B438" s="2296"/>
      <c r="C438" s="2296"/>
      <c r="D438" s="2296"/>
      <c r="E438" s="1456"/>
      <c r="R438" s="1457"/>
      <c r="S438" s="1457"/>
      <c r="T438" s="1457"/>
      <c r="U438" s="1457"/>
      <c r="V438" s="1457"/>
      <c r="W438" s="1457"/>
      <c r="X438" s="1457"/>
      <c r="Y438" s="1457"/>
    </row>
    <row r="439" spans="1:25" x14ac:dyDescent="0.2">
      <c r="A439" s="2296"/>
      <c r="B439" s="2296"/>
      <c r="C439" s="2296"/>
      <c r="D439" s="2296"/>
      <c r="E439" s="1456"/>
      <c r="R439" s="1457"/>
      <c r="S439" s="1457"/>
      <c r="T439" s="1457"/>
      <c r="U439" s="1457"/>
      <c r="V439" s="1457"/>
      <c r="W439" s="1457"/>
      <c r="X439" s="1457"/>
      <c r="Y439" s="1457"/>
    </row>
    <row r="440" spans="1:25" x14ac:dyDescent="0.2">
      <c r="A440" s="2296"/>
      <c r="B440" s="2296"/>
      <c r="C440" s="2296"/>
      <c r="D440" s="2296"/>
      <c r="E440" s="1456"/>
      <c r="R440" s="1457"/>
      <c r="S440" s="1457"/>
      <c r="T440" s="1457"/>
      <c r="U440" s="1457"/>
      <c r="V440" s="1457"/>
      <c r="W440" s="1457"/>
      <c r="X440" s="1457"/>
      <c r="Y440" s="1457"/>
    </row>
    <row r="441" spans="1:25" x14ac:dyDescent="0.2">
      <c r="A441" s="2296"/>
      <c r="B441" s="2296"/>
      <c r="C441" s="2296"/>
      <c r="D441" s="2296"/>
      <c r="E441" s="1456"/>
      <c r="R441" s="1457"/>
      <c r="S441" s="1457"/>
      <c r="T441" s="1457"/>
      <c r="U441" s="1457"/>
      <c r="V441" s="1457"/>
      <c r="W441" s="1457"/>
      <c r="X441" s="1457"/>
      <c r="Y441" s="1457"/>
    </row>
    <row r="442" spans="1:25" x14ac:dyDescent="0.2">
      <c r="A442" s="2296"/>
      <c r="B442" s="2296"/>
      <c r="C442" s="2296"/>
      <c r="D442" s="2296"/>
      <c r="E442" s="1456"/>
      <c r="R442" s="1457"/>
      <c r="S442" s="1457"/>
      <c r="T442" s="1457"/>
      <c r="U442" s="1457"/>
      <c r="V442" s="1457"/>
      <c r="W442" s="1457"/>
      <c r="X442" s="1457"/>
      <c r="Y442" s="1457"/>
    </row>
    <row r="443" spans="1:25" x14ac:dyDescent="0.2">
      <c r="A443" s="2296"/>
      <c r="B443" s="2296"/>
      <c r="C443" s="2296"/>
      <c r="D443" s="2296"/>
      <c r="E443" s="1456"/>
      <c r="R443" s="1457"/>
      <c r="S443" s="1457"/>
      <c r="T443" s="1457"/>
      <c r="U443" s="1457"/>
      <c r="V443" s="1457"/>
      <c r="W443" s="1457"/>
      <c r="X443" s="1457"/>
      <c r="Y443" s="1457"/>
    </row>
    <row r="444" spans="1:25" x14ac:dyDescent="0.2">
      <c r="A444" s="2296"/>
      <c r="B444" s="2296"/>
      <c r="C444" s="2296"/>
      <c r="D444" s="2296"/>
      <c r="E444" s="1456"/>
      <c r="R444" s="1457"/>
      <c r="S444" s="1457"/>
      <c r="T444" s="1457"/>
      <c r="U444" s="1457"/>
      <c r="V444" s="1457"/>
      <c r="W444" s="1457"/>
      <c r="X444" s="1457"/>
      <c r="Y444" s="1457"/>
    </row>
    <row r="445" spans="1:25" x14ac:dyDescent="0.2">
      <c r="A445" s="2296"/>
      <c r="B445" s="2296"/>
      <c r="C445" s="2296"/>
      <c r="D445" s="2296"/>
      <c r="E445" s="1456"/>
      <c r="R445" s="1457"/>
      <c r="S445" s="1457"/>
      <c r="T445" s="1457"/>
      <c r="U445" s="1457"/>
      <c r="V445" s="1457"/>
      <c r="W445" s="1457"/>
      <c r="X445" s="1457"/>
      <c r="Y445" s="1457"/>
    </row>
    <row r="446" spans="1:25" x14ac:dyDescent="0.2">
      <c r="A446" s="2296"/>
      <c r="B446" s="2296"/>
      <c r="C446" s="2296"/>
      <c r="D446" s="2296"/>
      <c r="E446" s="1456"/>
      <c r="R446" s="1457"/>
      <c r="S446" s="1457"/>
      <c r="T446" s="1457"/>
      <c r="U446" s="1457"/>
      <c r="V446" s="1457"/>
      <c r="W446" s="1457"/>
      <c r="X446" s="1457"/>
      <c r="Y446" s="1457"/>
    </row>
    <row r="447" spans="1:25" x14ac:dyDescent="0.2">
      <c r="A447" s="2296"/>
      <c r="B447" s="2296"/>
      <c r="C447" s="2296"/>
      <c r="D447" s="2296"/>
      <c r="E447" s="1456"/>
      <c r="R447" s="1457"/>
      <c r="S447" s="1457"/>
      <c r="T447" s="1457"/>
      <c r="U447" s="1457"/>
      <c r="V447" s="1457"/>
      <c r="W447" s="1457"/>
      <c r="X447" s="1457"/>
      <c r="Y447" s="1457"/>
    </row>
    <row r="448" spans="1:25" x14ac:dyDescent="0.2">
      <c r="A448" s="2296"/>
      <c r="B448" s="2296"/>
      <c r="C448" s="2296"/>
      <c r="D448" s="2296"/>
      <c r="E448" s="1456"/>
      <c r="R448" s="1457"/>
      <c r="S448" s="1457"/>
      <c r="T448" s="1457"/>
      <c r="U448" s="1457"/>
      <c r="V448" s="1457"/>
      <c r="W448" s="1457"/>
      <c r="X448" s="1457"/>
      <c r="Y448" s="1457"/>
    </row>
    <row r="449" spans="1:25" x14ac:dyDescent="0.2">
      <c r="A449" s="2296"/>
      <c r="B449" s="2296"/>
      <c r="C449" s="2296"/>
      <c r="D449" s="2296"/>
      <c r="E449" s="1456"/>
      <c r="R449" s="1457"/>
      <c r="S449" s="1457"/>
      <c r="T449" s="1457"/>
      <c r="U449" s="1457"/>
      <c r="V449" s="1457"/>
      <c r="W449" s="1457"/>
      <c r="X449" s="1457"/>
      <c r="Y449" s="1457"/>
    </row>
    <row r="450" spans="1:25" x14ac:dyDescent="0.2">
      <c r="A450" s="2296"/>
      <c r="B450" s="2296"/>
      <c r="C450" s="2296"/>
      <c r="D450" s="2296"/>
      <c r="E450" s="1456"/>
      <c r="R450" s="1457"/>
      <c r="S450" s="1457"/>
      <c r="T450" s="1457"/>
      <c r="U450" s="1457"/>
      <c r="V450" s="1457"/>
      <c r="W450" s="1457"/>
      <c r="X450" s="1457"/>
      <c r="Y450" s="1457"/>
    </row>
    <row r="451" spans="1:25" x14ac:dyDescent="0.2">
      <c r="A451" s="2296"/>
      <c r="B451" s="2296"/>
      <c r="C451" s="2296"/>
      <c r="D451" s="2296"/>
      <c r="E451" s="1456"/>
      <c r="R451" s="1457"/>
      <c r="S451" s="1457"/>
      <c r="T451" s="1457"/>
      <c r="U451" s="1457"/>
      <c r="V451" s="1457"/>
      <c r="W451" s="1457"/>
      <c r="X451" s="1457"/>
      <c r="Y451" s="1457"/>
    </row>
    <row r="452" spans="1:25" x14ac:dyDescent="0.2">
      <c r="A452" s="2296"/>
      <c r="B452" s="2296"/>
      <c r="C452" s="2296"/>
      <c r="D452" s="2296"/>
      <c r="E452" s="1456"/>
      <c r="R452" s="1457"/>
      <c r="S452" s="1457"/>
      <c r="T452" s="1457"/>
      <c r="U452" s="1457"/>
      <c r="V452" s="1457"/>
      <c r="W452" s="1457"/>
      <c r="X452" s="1457"/>
      <c r="Y452" s="1457"/>
    </row>
    <row r="453" spans="1:25" x14ac:dyDescent="0.2">
      <c r="A453" s="2296"/>
      <c r="B453" s="2296"/>
      <c r="C453" s="2296"/>
      <c r="D453" s="2296"/>
      <c r="E453" s="1456"/>
      <c r="R453" s="1457"/>
      <c r="S453" s="1457"/>
      <c r="T453" s="1457"/>
      <c r="U453" s="1457"/>
      <c r="V453" s="1457"/>
      <c r="W453" s="1457"/>
      <c r="X453" s="1457"/>
      <c r="Y453" s="1457"/>
    </row>
    <row r="454" spans="1:25" x14ac:dyDescent="0.2">
      <c r="A454" s="2296"/>
      <c r="B454" s="2296"/>
      <c r="C454" s="2296"/>
      <c r="D454" s="2296"/>
      <c r="E454" s="1456"/>
      <c r="R454" s="1457"/>
      <c r="S454" s="1457"/>
      <c r="T454" s="1457"/>
      <c r="U454" s="1457"/>
      <c r="V454" s="1457"/>
      <c r="W454" s="1457"/>
      <c r="X454" s="1457"/>
      <c r="Y454" s="1457"/>
    </row>
    <row r="455" spans="1:25" x14ac:dyDescent="0.2">
      <c r="A455" s="2296"/>
      <c r="B455" s="2296"/>
      <c r="C455" s="2296"/>
      <c r="D455" s="2296"/>
      <c r="E455" s="1456"/>
      <c r="R455" s="1457"/>
      <c r="S455" s="1457"/>
      <c r="T455" s="1457"/>
      <c r="U455" s="1457"/>
      <c r="V455" s="1457"/>
      <c r="W455" s="1457"/>
      <c r="X455" s="1457"/>
      <c r="Y455" s="1457"/>
    </row>
    <row r="456" spans="1:25" x14ac:dyDescent="0.2">
      <c r="A456" s="2296"/>
      <c r="B456" s="2296"/>
      <c r="C456" s="2296"/>
      <c r="D456" s="2296"/>
      <c r="E456" s="1456"/>
      <c r="R456" s="1457"/>
      <c r="S456" s="1457"/>
      <c r="T456" s="1457"/>
      <c r="U456" s="1457"/>
      <c r="V456" s="1457"/>
      <c r="W456" s="1457"/>
      <c r="X456" s="1457"/>
      <c r="Y456" s="1457"/>
    </row>
    <row r="457" spans="1:25" x14ac:dyDescent="0.2">
      <c r="A457" s="2296"/>
      <c r="B457" s="2296"/>
      <c r="C457" s="2296"/>
      <c r="D457" s="2296"/>
      <c r="E457" s="1456"/>
      <c r="R457" s="1457"/>
      <c r="S457" s="1457"/>
      <c r="T457" s="1457"/>
      <c r="U457" s="1457"/>
      <c r="V457" s="1457"/>
      <c r="W457" s="1457"/>
      <c r="X457" s="1457"/>
      <c r="Y457" s="1457"/>
    </row>
    <row r="458" spans="1:25" x14ac:dyDescent="0.2">
      <c r="A458" s="2296"/>
      <c r="B458" s="2296"/>
      <c r="C458" s="2296"/>
      <c r="D458" s="2296"/>
      <c r="E458" s="1456"/>
      <c r="R458" s="1457"/>
      <c r="S458" s="1457"/>
      <c r="T458" s="1457"/>
      <c r="U458" s="1457"/>
      <c r="V458" s="1457"/>
      <c r="W458" s="1457"/>
      <c r="X458" s="1457"/>
      <c r="Y458" s="1457"/>
    </row>
    <row r="459" spans="1:25" x14ac:dyDescent="0.2">
      <c r="A459" s="2296"/>
      <c r="B459" s="2296"/>
      <c r="C459" s="2296"/>
      <c r="D459" s="2296"/>
      <c r="E459" s="1456"/>
      <c r="R459" s="1457"/>
      <c r="S459" s="1457"/>
      <c r="T459" s="1457"/>
      <c r="U459" s="1457"/>
      <c r="V459" s="1457"/>
      <c r="W459" s="1457"/>
      <c r="X459" s="1457"/>
      <c r="Y459" s="1457"/>
    </row>
    <row r="460" spans="1:25" x14ac:dyDescent="0.2">
      <c r="A460" s="2296"/>
      <c r="B460" s="2296"/>
      <c r="C460" s="2296"/>
      <c r="D460" s="2296"/>
      <c r="E460" s="1456"/>
      <c r="R460" s="1457"/>
      <c r="S460" s="1457"/>
      <c r="T460" s="1457"/>
      <c r="U460" s="1457"/>
      <c r="V460" s="1457"/>
      <c r="W460" s="1457"/>
      <c r="X460" s="1457"/>
      <c r="Y460" s="1457"/>
    </row>
    <row r="461" spans="1:25" x14ac:dyDescent="0.2">
      <c r="A461" s="2296"/>
      <c r="B461" s="2296"/>
      <c r="C461" s="2296"/>
      <c r="D461" s="2296"/>
      <c r="E461" s="1456"/>
      <c r="R461" s="1457"/>
      <c r="S461" s="1457"/>
      <c r="T461" s="1457"/>
      <c r="U461" s="1457"/>
      <c r="V461" s="1457"/>
      <c r="W461" s="1457"/>
      <c r="X461" s="1457"/>
      <c r="Y461" s="1457"/>
    </row>
    <row r="462" spans="1:25" x14ac:dyDescent="0.2">
      <c r="A462" s="2296"/>
      <c r="B462" s="2296"/>
      <c r="C462" s="2296"/>
      <c r="D462" s="2296"/>
      <c r="E462" s="1456"/>
      <c r="R462" s="1457"/>
      <c r="S462" s="1457"/>
      <c r="T462" s="1457"/>
      <c r="U462" s="1457"/>
      <c r="V462" s="1457"/>
      <c r="W462" s="1457"/>
      <c r="X462" s="1457"/>
      <c r="Y462" s="1457"/>
    </row>
    <row r="463" spans="1:25" x14ac:dyDescent="0.2">
      <c r="A463" s="2296"/>
      <c r="B463" s="2296"/>
      <c r="C463" s="2296"/>
      <c r="D463" s="2296"/>
      <c r="E463" s="1456"/>
      <c r="R463" s="1457"/>
      <c r="S463" s="1457"/>
      <c r="T463" s="1457"/>
      <c r="U463" s="1457"/>
      <c r="V463" s="1457"/>
      <c r="W463" s="1457"/>
      <c r="X463" s="1457"/>
      <c r="Y463" s="1457"/>
    </row>
    <row r="464" spans="1:25" x14ac:dyDescent="0.2">
      <c r="A464" s="2296"/>
      <c r="B464" s="2296"/>
      <c r="C464" s="2296"/>
      <c r="D464" s="2296"/>
      <c r="E464" s="1456"/>
      <c r="R464" s="1457"/>
      <c r="S464" s="1457"/>
      <c r="T464" s="1457"/>
      <c r="U464" s="1457"/>
      <c r="V464" s="1457"/>
      <c r="W464" s="1457"/>
      <c r="X464" s="1457"/>
      <c r="Y464" s="1457"/>
    </row>
    <row r="465" spans="1:25" x14ac:dyDescent="0.2">
      <c r="A465" s="2296"/>
      <c r="B465" s="2296"/>
      <c r="C465" s="2296"/>
      <c r="D465" s="2296"/>
      <c r="E465" s="1456"/>
      <c r="R465" s="1457"/>
      <c r="S465" s="1457"/>
      <c r="T465" s="1457"/>
      <c r="U465" s="1457"/>
      <c r="V465" s="1457"/>
      <c r="W465" s="1457"/>
      <c r="X465" s="1457"/>
      <c r="Y465" s="1457"/>
    </row>
    <row r="466" spans="1:25" x14ac:dyDescent="0.2">
      <c r="A466" s="2296"/>
      <c r="B466" s="2296"/>
      <c r="C466" s="2296"/>
      <c r="D466" s="2296"/>
      <c r="E466" s="1456"/>
      <c r="R466" s="1457"/>
      <c r="S466" s="1457"/>
      <c r="T466" s="1457"/>
      <c r="U466" s="1457"/>
      <c r="V466" s="1457"/>
      <c r="W466" s="1457"/>
      <c r="X466" s="1457"/>
      <c r="Y466" s="1457"/>
    </row>
    <row r="467" spans="1:25" x14ac:dyDescent="0.2">
      <c r="A467" s="2296"/>
      <c r="B467" s="2296"/>
      <c r="C467" s="2296"/>
      <c r="D467" s="2296"/>
      <c r="E467" s="1456"/>
      <c r="R467" s="1457"/>
      <c r="S467" s="1457"/>
      <c r="T467" s="1457"/>
      <c r="U467" s="1457"/>
      <c r="V467" s="1457"/>
      <c r="W467" s="1457"/>
      <c r="X467" s="1457"/>
      <c r="Y467" s="1457"/>
    </row>
    <row r="468" spans="1:25" x14ac:dyDescent="0.2">
      <c r="A468" s="2296"/>
      <c r="B468" s="2296"/>
      <c r="C468" s="2296"/>
      <c r="D468" s="2296"/>
      <c r="E468" s="1456"/>
      <c r="R468" s="1457"/>
      <c r="S468" s="1457"/>
      <c r="T468" s="1457"/>
      <c r="U468" s="1457"/>
      <c r="V468" s="1457"/>
      <c r="W468" s="1457"/>
      <c r="X468" s="1457"/>
      <c r="Y468" s="1457"/>
    </row>
    <row r="469" spans="1:25" x14ac:dyDescent="0.2">
      <c r="A469" s="2296"/>
      <c r="B469" s="2296"/>
      <c r="C469" s="2296"/>
      <c r="D469" s="2296"/>
      <c r="E469" s="1456"/>
      <c r="R469" s="1457"/>
      <c r="S469" s="1457"/>
      <c r="T469" s="1457"/>
      <c r="U469" s="1457"/>
      <c r="V469" s="1457"/>
      <c r="W469" s="1457"/>
      <c r="X469" s="1457"/>
      <c r="Y469" s="1457"/>
    </row>
    <row r="470" spans="1:25" x14ac:dyDescent="0.2">
      <c r="A470" s="2296"/>
      <c r="B470" s="2296"/>
      <c r="C470" s="2296"/>
      <c r="D470" s="2296"/>
      <c r="E470" s="1456"/>
      <c r="R470" s="1457"/>
      <c r="S470" s="1457"/>
      <c r="T470" s="1457"/>
      <c r="U470" s="1457"/>
      <c r="V470" s="1457"/>
      <c r="W470" s="1457"/>
      <c r="X470" s="1457"/>
      <c r="Y470" s="1457"/>
    </row>
    <row r="471" spans="1:25" x14ac:dyDescent="0.2">
      <c r="A471" s="2296"/>
      <c r="B471" s="2296"/>
      <c r="C471" s="2296"/>
      <c r="D471" s="2296"/>
      <c r="E471" s="1456"/>
      <c r="R471" s="1457"/>
      <c r="S471" s="1457"/>
      <c r="T471" s="1457"/>
      <c r="U471" s="1457"/>
      <c r="V471" s="1457"/>
      <c r="W471" s="1457"/>
      <c r="X471" s="1457"/>
      <c r="Y471" s="1457"/>
    </row>
    <row r="472" spans="1:25" x14ac:dyDescent="0.2">
      <c r="A472" s="2296"/>
      <c r="B472" s="2296"/>
      <c r="C472" s="2296"/>
      <c r="D472" s="2296"/>
      <c r="E472" s="1456"/>
      <c r="R472" s="1457"/>
      <c r="S472" s="1457"/>
      <c r="T472" s="1457"/>
      <c r="U472" s="1457"/>
      <c r="V472" s="1457"/>
      <c r="W472" s="1457"/>
      <c r="X472" s="1457"/>
      <c r="Y472" s="1457"/>
    </row>
    <row r="473" spans="1:25" x14ac:dyDescent="0.2">
      <c r="A473" s="2296"/>
      <c r="B473" s="2296"/>
      <c r="C473" s="2296"/>
      <c r="D473" s="2296"/>
      <c r="E473" s="1456"/>
      <c r="R473" s="1457"/>
      <c r="S473" s="1457"/>
      <c r="T473" s="1457"/>
      <c r="U473" s="1457"/>
      <c r="V473" s="1457"/>
      <c r="W473" s="1457"/>
      <c r="X473" s="1457"/>
      <c r="Y473" s="1457"/>
    </row>
    <row r="474" spans="1:25" x14ac:dyDescent="0.2">
      <c r="A474" s="2296"/>
      <c r="B474" s="2296"/>
      <c r="C474" s="2296"/>
      <c r="D474" s="2296"/>
      <c r="E474" s="1456"/>
      <c r="R474" s="1457"/>
      <c r="S474" s="1457"/>
      <c r="T474" s="1457"/>
      <c r="U474" s="1457"/>
      <c r="V474" s="1457"/>
      <c r="W474" s="1457"/>
      <c r="X474" s="1457"/>
      <c r="Y474" s="1457"/>
    </row>
    <row r="475" spans="1:25" x14ac:dyDescent="0.2">
      <c r="A475" s="2296"/>
      <c r="B475" s="2296"/>
      <c r="C475" s="2296"/>
      <c r="D475" s="2296"/>
      <c r="E475" s="1456"/>
      <c r="R475" s="1457"/>
      <c r="S475" s="1457"/>
      <c r="T475" s="1457"/>
      <c r="U475" s="1457"/>
      <c r="V475" s="1457"/>
      <c r="W475" s="1457"/>
      <c r="X475" s="1457"/>
      <c r="Y475" s="1457"/>
    </row>
    <row r="476" spans="1:25" x14ac:dyDescent="0.2">
      <c r="A476" s="2296"/>
      <c r="B476" s="2296"/>
      <c r="C476" s="2296"/>
      <c r="D476" s="2296"/>
      <c r="E476" s="1456"/>
      <c r="R476" s="1457"/>
      <c r="S476" s="1457"/>
      <c r="T476" s="1457"/>
      <c r="U476" s="1457"/>
      <c r="V476" s="1457"/>
      <c r="W476" s="1457"/>
      <c r="X476" s="1457"/>
      <c r="Y476" s="1457"/>
    </row>
    <row r="477" spans="1:25" x14ac:dyDescent="0.2">
      <c r="A477" s="2296"/>
      <c r="B477" s="2296"/>
      <c r="C477" s="2296"/>
      <c r="D477" s="2296"/>
      <c r="E477" s="1456"/>
      <c r="R477" s="1457"/>
      <c r="S477" s="1457"/>
      <c r="T477" s="1457"/>
      <c r="U477" s="1457"/>
      <c r="V477" s="1457"/>
      <c r="W477" s="1457"/>
      <c r="X477" s="1457"/>
      <c r="Y477" s="1457"/>
    </row>
    <row r="478" spans="1:25" x14ac:dyDescent="0.2">
      <c r="A478" s="2296"/>
      <c r="B478" s="2296"/>
      <c r="C478" s="2296"/>
      <c r="D478" s="2296"/>
      <c r="E478" s="1456"/>
      <c r="R478" s="1457"/>
      <c r="S478" s="1457"/>
      <c r="T478" s="1457"/>
      <c r="U478" s="1457"/>
      <c r="V478" s="1457"/>
      <c r="W478" s="1457"/>
      <c r="X478" s="1457"/>
      <c r="Y478" s="1457"/>
    </row>
    <row r="479" spans="1:25" x14ac:dyDescent="0.2">
      <c r="A479" s="2296"/>
      <c r="B479" s="2296"/>
      <c r="C479" s="2296"/>
      <c r="D479" s="2296"/>
      <c r="E479" s="1456"/>
      <c r="R479" s="1457"/>
      <c r="S479" s="1457"/>
      <c r="T479" s="1457"/>
      <c r="U479" s="1457"/>
      <c r="V479" s="1457"/>
      <c r="W479" s="1457"/>
      <c r="X479" s="1457"/>
      <c r="Y479" s="1457"/>
    </row>
    <row r="480" spans="1:25" x14ac:dyDescent="0.2">
      <c r="A480" s="2296"/>
      <c r="B480" s="2296"/>
      <c r="C480" s="2296"/>
      <c r="D480" s="2296"/>
      <c r="E480" s="1456"/>
      <c r="R480" s="1457"/>
      <c r="S480" s="1457"/>
      <c r="T480" s="1457"/>
      <c r="U480" s="1457"/>
      <c r="V480" s="1457"/>
      <c r="W480" s="1457"/>
      <c r="X480" s="1457"/>
      <c r="Y480" s="1457"/>
    </row>
    <row r="481" spans="1:25" x14ac:dyDescent="0.2">
      <c r="A481" s="2296"/>
      <c r="B481" s="2296"/>
      <c r="C481" s="2296"/>
      <c r="D481" s="2296"/>
      <c r="E481" s="1456"/>
      <c r="R481" s="1457"/>
      <c r="S481" s="1457"/>
      <c r="T481" s="1457"/>
      <c r="U481" s="1457"/>
      <c r="V481" s="1457"/>
      <c r="W481" s="1457"/>
      <c r="X481" s="1457"/>
      <c r="Y481" s="1457"/>
    </row>
    <row r="482" spans="1:25" x14ac:dyDescent="0.2">
      <c r="A482" s="2296"/>
      <c r="B482" s="2296"/>
      <c r="C482" s="2296"/>
      <c r="D482" s="2296"/>
      <c r="E482" s="1456"/>
      <c r="R482" s="1457"/>
      <c r="S482" s="1457"/>
      <c r="T482" s="1457"/>
      <c r="U482" s="1457"/>
      <c r="V482" s="1457"/>
      <c r="W482" s="1457"/>
      <c r="X482" s="1457"/>
      <c r="Y482" s="1457"/>
    </row>
    <row r="483" spans="1:25" x14ac:dyDescent="0.2">
      <c r="A483" s="2296"/>
      <c r="B483" s="2296"/>
      <c r="C483" s="2296"/>
      <c r="D483" s="2296"/>
      <c r="E483" s="1456"/>
      <c r="R483" s="1457"/>
      <c r="S483" s="1457"/>
      <c r="T483" s="1457"/>
      <c r="U483" s="1457"/>
      <c r="V483" s="1457"/>
      <c r="W483" s="1457"/>
      <c r="X483" s="1457"/>
      <c r="Y483" s="1457"/>
    </row>
    <row r="484" spans="1:25" x14ac:dyDescent="0.2">
      <c r="A484" s="2296"/>
      <c r="B484" s="2296"/>
      <c r="C484" s="2296"/>
      <c r="D484" s="2296"/>
      <c r="E484" s="1456"/>
      <c r="R484" s="1457"/>
      <c r="S484" s="1457"/>
      <c r="T484" s="1457"/>
      <c r="U484" s="1457"/>
      <c r="V484" s="1457"/>
      <c r="W484" s="1457"/>
      <c r="X484" s="1457"/>
      <c r="Y484" s="1457"/>
    </row>
    <row r="485" spans="1:25" x14ac:dyDescent="0.2">
      <c r="A485" s="2296"/>
      <c r="B485" s="2296"/>
      <c r="C485" s="2296"/>
      <c r="D485" s="2296"/>
      <c r="E485" s="1456"/>
      <c r="R485" s="1457"/>
      <c r="S485" s="1457"/>
      <c r="T485" s="1457"/>
      <c r="U485" s="1457"/>
      <c r="V485" s="1457"/>
      <c r="W485" s="1457"/>
      <c r="X485" s="1457"/>
      <c r="Y485" s="1457"/>
    </row>
    <row r="486" spans="1:25" x14ac:dyDescent="0.2">
      <c r="A486" s="2296"/>
      <c r="B486" s="2296"/>
      <c r="C486" s="2296"/>
      <c r="D486" s="2296"/>
      <c r="E486" s="1456"/>
      <c r="R486" s="1457"/>
      <c r="S486" s="1457"/>
      <c r="T486" s="1457"/>
      <c r="U486" s="1457"/>
      <c r="V486" s="1457"/>
      <c r="W486" s="1457"/>
      <c r="X486" s="1457"/>
      <c r="Y486" s="1457"/>
    </row>
    <row r="487" spans="1:25" x14ac:dyDescent="0.2">
      <c r="A487" s="2296"/>
      <c r="B487" s="2296"/>
      <c r="C487" s="2296"/>
      <c r="D487" s="2296"/>
      <c r="E487" s="1456"/>
      <c r="R487" s="1457"/>
      <c r="S487" s="1457"/>
      <c r="T487" s="1457"/>
      <c r="U487" s="1457"/>
      <c r="V487" s="1457"/>
      <c r="W487" s="1457"/>
      <c r="X487" s="1457"/>
      <c r="Y487" s="1457"/>
    </row>
    <row r="488" spans="1:25" x14ac:dyDescent="0.2">
      <c r="A488" s="2296"/>
      <c r="B488" s="2296"/>
      <c r="C488" s="2296"/>
      <c r="D488" s="2296"/>
      <c r="E488" s="1456"/>
      <c r="R488" s="1457"/>
      <c r="S488" s="1457"/>
      <c r="T488" s="1457"/>
      <c r="U488" s="1457"/>
      <c r="V488" s="1457"/>
      <c r="W488" s="1457"/>
      <c r="X488" s="1457"/>
      <c r="Y488" s="1457"/>
    </row>
    <row r="489" spans="1:25" x14ac:dyDescent="0.2">
      <c r="A489" s="2296"/>
      <c r="B489" s="2296"/>
      <c r="C489" s="2296"/>
      <c r="D489" s="2296"/>
      <c r="E489" s="1456"/>
      <c r="R489" s="1457"/>
      <c r="S489" s="1457"/>
      <c r="T489" s="1457"/>
      <c r="U489" s="1457"/>
      <c r="V489" s="1457"/>
      <c r="W489" s="1457"/>
      <c r="X489" s="1457"/>
      <c r="Y489" s="1457"/>
    </row>
    <row r="490" spans="1:25" x14ac:dyDescent="0.2">
      <c r="A490" s="2296"/>
      <c r="B490" s="2296"/>
      <c r="C490" s="2296"/>
      <c r="D490" s="2296"/>
      <c r="E490" s="1456"/>
      <c r="R490" s="1457"/>
      <c r="S490" s="1457"/>
      <c r="T490" s="1457"/>
      <c r="U490" s="1457"/>
      <c r="V490" s="1457"/>
      <c r="W490" s="1457"/>
      <c r="X490" s="1457"/>
      <c r="Y490" s="1457"/>
    </row>
    <row r="491" spans="1:25" x14ac:dyDescent="0.2">
      <c r="A491" s="2296"/>
      <c r="B491" s="2296"/>
      <c r="C491" s="2296"/>
      <c r="D491" s="2296"/>
      <c r="E491" s="1456"/>
      <c r="R491" s="1457"/>
      <c r="S491" s="1457"/>
      <c r="T491" s="1457"/>
      <c r="U491" s="1457"/>
      <c r="V491" s="1457"/>
      <c r="W491" s="1457"/>
      <c r="X491" s="1457"/>
      <c r="Y491" s="1457"/>
    </row>
    <row r="492" spans="1:25" x14ac:dyDescent="0.2">
      <c r="A492" s="2296"/>
      <c r="B492" s="2296"/>
      <c r="C492" s="2296"/>
      <c r="D492" s="2296"/>
      <c r="E492" s="1456"/>
      <c r="R492" s="1457"/>
      <c r="S492" s="1457"/>
      <c r="T492" s="1457"/>
      <c r="U492" s="1457"/>
      <c r="V492" s="1457"/>
      <c r="W492" s="1457"/>
      <c r="X492" s="1457"/>
      <c r="Y492" s="1457"/>
    </row>
    <row r="493" spans="1:25" x14ac:dyDescent="0.2">
      <c r="A493" s="2296"/>
      <c r="B493" s="2296"/>
      <c r="C493" s="2296"/>
      <c r="D493" s="2296"/>
      <c r="E493" s="1456"/>
      <c r="R493" s="1457"/>
      <c r="S493" s="1457"/>
      <c r="T493" s="1457"/>
      <c r="U493" s="1457"/>
      <c r="V493" s="1457"/>
      <c r="W493" s="1457"/>
      <c r="X493" s="1457"/>
      <c r="Y493" s="1457"/>
    </row>
    <row r="494" spans="1:25" x14ac:dyDescent="0.2">
      <c r="A494" s="2296"/>
      <c r="B494" s="2296"/>
      <c r="C494" s="2296"/>
      <c r="D494" s="2296"/>
      <c r="E494" s="1456"/>
      <c r="R494" s="1457"/>
      <c r="S494" s="1457"/>
      <c r="T494" s="1457"/>
      <c r="U494" s="1457"/>
      <c r="V494" s="1457"/>
      <c r="W494" s="1457"/>
      <c r="X494" s="1457"/>
      <c r="Y494" s="1457"/>
    </row>
    <row r="495" spans="1:25" x14ac:dyDescent="0.2">
      <c r="A495" s="2296"/>
      <c r="B495" s="2296"/>
      <c r="C495" s="2296"/>
      <c r="D495" s="2296"/>
      <c r="E495" s="1456"/>
      <c r="R495" s="1457"/>
      <c r="S495" s="1457"/>
      <c r="T495" s="1457"/>
      <c r="U495" s="1457"/>
      <c r="V495" s="1457"/>
      <c r="W495" s="1457"/>
      <c r="X495" s="1457"/>
      <c r="Y495" s="1457"/>
    </row>
    <row r="496" spans="1:25" x14ac:dyDescent="0.2">
      <c r="A496" s="2296"/>
      <c r="B496" s="2296"/>
      <c r="C496" s="2296"/>
      <c r="D496" s="2296"/>
      <c r="E496" s="1456"/>
      <c r="R496" s="1457"/>
      <c r="S496" s="1457"/>
      <c r="T496" s="1457"/>
      <c r="U496" s="1457"/>
      <c r="V496" s="1457"/>
      <c r="W496" s="1457"/>
      <c r="X496" s="1457"/>
      <c r="Y496" s="1457"/>
    </row>
    <row r="497" spans="1:25" x14ac:dyDescent="0.2">
      <c r="A497" s="2296"/>
      <c r="B497" s="2296"/>
      <c r="C497" s="2296"/>
      <c r="D497" s="2296"/>
      <c r="E497" s="1456"/>
      <c r="R497" s="1457"/>
      <c r="S497" s="1457"/>
      <c r="T497" s="1457"/>
      <c r="U497" s="1457"/>
      <c r="V497" s="1457"/>
      <c r="W497" s="1457"/>
      <c r="X497" s="1457"/>
      <c r="Y497" s="1457"/>
    </row>
    <row r="498" spans="1:25" x14ac:dyDescent="0.2">
      <c r="A498" s="2296"/>
      <c r="B498" s="2296"/>
      <c r="C498" s="2296"/>
      <c r="D498" s="2296"/>
      <c r="E498" s="1456"/>
      <c r="R498" s="1457"/>
      <c r="S498" s="1457"/>
      <c r="T498" s="1457"/>
      <c r="U498" s="1457"/>
      <c r="V498" s="1457"/>
      <c r="W498" s="1457"/>
      <c r="X498" s="1457"/>
      <c r="Y498" s="1457"/>
    </row>
    <row r="499" spans="1:25" x14ac:dyDescent="0.2">
      <c r="A499" s="2296"/>
      <c r="B499" s="2296"/>
      <c r="C499" s="2296"/>
      <c r="D499" s="2296"/>
      <c r="E499" s="1456"/>
      <c r="R499" s="1457"/>
      <c r="S499" s="1457"/>
      <c r="T499" s="1457"/>
      <c r="U499" s="1457"/>
      <c r="V499" s="1457"/>
      <c r="W499" s="1457"/>
      <c r="X499" s="1457"/>
      <c r="Y499" s="1457"/>
    </row>
    <row r="500" spans="1:25" x14ac:dyDescent="0.2">
      <c r="A500" s="2296"/>
      <c r="B500" s="2296"/>
      <c r="C500" s="2296"/>
      <c r="D500" s="2296"/>
      <c r="E500" s="1456"/>
      <c r="R500" s="1457"/>
      <c r="S500" s="1457"/>
      <c r="T500" s="1457"/>
      <c r="U500" s="1457"/>
      <c r="V500" s="1457"/>
      <c r="W500" s="1457"/>
      <c r="X500" s="1457"/>
      <c r="Y500" s="1457"/>
    </row>
    <row r="501" spans="1:25" x14ac:dyDescent="0.2">
      <c r="A501" s="2296"/>
      <c r="B501" s="2296"/>
      <c r="C501" s="2296"/>
      <c r="D501" s="2296"/>
      <c r="E501" s="1456"/>
      <c r="R501" s="1457"/>
      <c r="S501" s="1457"/>
      <c r="T501" s="1457"/>
      <c r="U501" s="1457"/>
      <c r="V501" s="1457"/>
      <c r="W501" s="1457"/>
      <c r="X501" s="1457"/>
      <c r="Y501" s="1457"/>
    </row>
    <row r="502" spans="1:25" x14ac:dyDescent="0.2">
      <c r="A502" s="2296"/>
      <c r="B502" s="2296"/>
      <c r="C502" s="2296"/>
      <c r="D502" s="2296"/>
      <c r="E502" s="1456"/>
      <c r="R502" s="1457"/>
      <c r="S502" s="1457"/>
      <c r="T502" s="1457"/>
      <c r="U502" s="1457"/>
      <c r="V502" s="1457"/>
      <c r="W502" s="1457"/>
      <c r="X502" s="1457"/>
      <c r="Y502" s="1457"/>
    </row>
    <row r="503" spans="1:25" x14ac:dyDescent="0.2">
      <c r="A503" s="2296"/>
      <c r="B503" s="2296"/>
      <c r="C503" s="2296"/>
      <c r="D503" s="2296"/>
      <c r="E503" s="1456"/>
      <c r="R503" s="1457"/>
      <c r="S503" s="1457"/>
      <c r="T503" s="1457"/>
      <c r="U503" s="1457"/>
      <c r="V503" s="1457"/>
      <c r="W503" s="1457"/>
      <c r="X503" s="1457"/>
      <c r="Y503" s="1457"/>
    </row>
    <row r="504" spans="1:25" x14ac:dyDescent="0.2">
      <c r="A504" s="2296"/>
      <c r="B504" s="2296"/>
      <c r="C504" s="2296"/>
      <c r="D504" s="2296"/>
      <c r="E504" s="1456"/>
      <c r="R504" s="1457"/>
      <c r="S504" s="1457"/>
      <c r="T504" s="1457"/>
      <c r="U504" s="1457"/>
      <c r="V504" s="1457"/>
      <c r="W504" s="1457"/>
      <c r="X504" s="1457"/>
      <c r="Y504" s="1457"/>
    </row>
    <row r="505" spans="1:25" x14ac:dyDescent="0.2">
      <c r="A505" s="2296"/>
      <c r="B505" s="2296"/>
      <c r="C505" s="2296"/>
      <c r="D505" s="2296"/>
      <c r="E505" s="1456"/>
      <c r="R505" s="1457"/>
      <c r="S505" s="1457"/>
      <c r="T505" s="1457"/>
      <c r="U505" s="1457"/>
      <c r="V505" s="1457"/>
      <c r="W505" s="1457"/>
      <c r="X505" s="1457"/>
      <c r="Y505" s="1457"/>
    </row>
    <row r="506" spans="1:25" x14ac:dyDescent="0.2">
      <c r="A506" s="2296"/>
      <c r="B506" s="2296"/>
      <c r="C506" s="2296"/>
      <c r="D506" s="2296"/>
      <c r="E506" s="1456"/>
      <c r="R506" s="1457"/>
      <c r="S506" s="1457"/>
      <c r="T506" s="1457"/>
      <c r="U506" s="1457"/>
      <c r="V506" s="1457"/>
      <c r="W506" s="1457"/>
      <c r="X506" s="1457"/>
      <c r="Y506" s="1457"/>
    </row>
    <row r="507" spans="1:25" x14ac:dyDescent="0.2">
      <c r="A507" s="2296"/>
      <c r="B507" s="2296"/>
      <c r="C507" s="2296"/>
      <c r="D507" s="2296"/>
      <c r="E507" s="1456"/>
      <c r="R507" s="1457"/>
      <c r="S507" s="1457"/>
      <c r="T507" s="1457"/>
      <c r="U507" s="1457"/>
      <c r="V507" s="1457"/>
      <c r="W507" s="1457"/>
      <c r="X507" s="1457"/>
      <c r="Y507" s="1457"/>
    </row>
    <row r="508" spans="1:25" x14ac:dyDescent="0.2">
      <c r="A508" s="2296"/>
      <c r="B508" s="2296"/>
      <c r="C508" s="2296"/>
      <c r="D508" s="2296"/>
      <c r="E508" s="1456"/>
      <c r="R508" s="1457"/>
      <c r="S508" s="1457"/>
      <c r="T508" s="1457"/>
      <c r="U508" s="1457"/>
      <c r="V508" s="1457"/>
      <c r="W508" s="1457"/>
      <c r="X508" s="1457"/>
      <c r="Y508" s="1457"/>
    </row>
    <row r="509" spans="1:25" x14ac:dyDescent="0.2">
      <c r="A509" s="2296"/>
      <c r="B509" s="2296"/>
      <c r="C509" s="2296"/>
      <c r="D509" s="2296"/>
      <c r="E509" s="1456"/>
      <c r="R509" s="1457"/>
      <c r="S509" s="1457"/>
      <c r="T509" s="1457"/>
      <c r="U509" s="1457"/>
      <c r="V509" s="1457"/>
      <c r="W509" s="1457"/>
      <c r="X509" s="1457"/>
      <c r="Y509" s="1457"/>
    </row>
    <row r="510" spans="1:25" x14ac:dyDescent="0.2">
      <c r="A510" s="2296"/>
      <c r="B510" s="2296"/>
      <c r="C510" s="2296"/>
      <c r="D510" s="2296"/>
      <c r="E510" s="1456"/>
      <c r="R510" s="1457"/>
      <c r="S510" s="1457"/>
      <c r="T510" s="1457"/>
      <c r="U510" s="1457"/>
      <c r="V510" s="1457"/>
      <c r="W510" s="1457"/>
      <c r="X510" s="1457"/>
      <c r="Y510" s="1457"/>
    </row>
    <row r="511" spans="1:25" x14ac:dyDescent="0.2">
      <c r="A511" s="2296"/>
      <c r="B511" s="2296"/>
      <c r="C511" s="2296"/>
      <c r="D511" s="2296"/>
      <c r="E511" s="1456"/>
      <c r="R511" s="1457"/>
      <c r="S511" s="1457"/>
      <c r="T511" s="1457"/>
      <c r="U511" s="1457"/>
      <c r="V511" s="1457"/>
      <c r="W511" s="1457"/>
      <c r="X511" s="1457"/>
      <c r="Y511" s="1457"/>
    </row>
    <row r="512" spans="1:25" x14ac:dyDescent="0.2">
      <c r="A512" s="2296"/>
      <c r="B512" s="2296"/>
      <c r="C512" s="2296"/>
      <c r="D512" s="2296"/>
      <c r="E512" s="1456"/>
      <c r="R512" s="1457"/>
      <c r="S512" s="1457"/>
      <c r="T512" s="1457"/>
      <c r="U512" s="1457"/>
      <c r="V512" s="1457"/>
      <c r="W512" s="1457"/>
      <c r="X512" s="1457"/>
      <c r="Y512" s="1457"/>
    </row>
    <row r="513" spans="1:25" x14ac:dyDescent="0.2">
      <c r="A513" s="2296"/>
      <c r="B513" s="2296"/>
      <c r="C513" s="2296"/>
      <c r="D513" s="2296"/>
      <c r="E513" s="1456"/>
      <c r="R513" s="1457"/>
      <c r="S513" s="1457"/>
      <c r="T513" s="1457"/>
      <c r="U513" s="1457"/>
      <c r="V513" s="1457"/>
      <c r="W513" s="1457"/>
      <c r="X513" s="1457"/>
      <c r="Y513" s="1457"/>
    </row>
    <row r="514" spans="1:25" x14ac:dyDescent="0.2">
      <c r="A514" s="2296"/>
      <c r="B514" s="2296"/>
      <c r="C514" s="2296"/>
      <c r="D514" s="2296"/>
      <c r="E514" s="1456"/>
      <c r="R514" s="1457"/>
      <c r="S514" s="1457"/>
      <c r="T514" s="1457"/>
      <c r="U514" s="1457"/>
      <c r="V514" s="1457"/>
      <c r="W514" s="1457"/>
      <c r="X514" s="1457"/>
      <c r="Y514" s="1457"/>
    </row>
    <row r="515" spans="1:25" x14ac:dyDescent="0.2">
      <c r="A515" s="2296"/>
      <c r="B515" s="2296"/>
      <c r="C515" s="2296"/>
      <c r="D515" s="2296"/>
      <c r="E515" s="1456"/>
      <c r="R515" s="1457"/>
      <c r="S515" s="1457"/>
      <c r="T515" s="1457"/>
      <c r="U515" s="1457"/>
      <c r="V515" s="1457"/>
      <c r="W515" s="1457"/>
      <c r="X515" s="1457"/>
      <c r="Y515" s="1457"/>
    </row>
    <row r="516" spans="1:25" x14ac:dyDescent="0.2">
      <c r="A516" s="2296"/>
      <c r="B516" s="2296"/>
      <c r="C516" s="2296"/>
      <c r="D516" s="2296"/>
      <c r="E516" s="1456"/>
      <c r="R516" s="1457"/>
      <c r="S516" s="1457"/>
      <c r="T516" s="1457"/>
      <c r="U516" s="1457"/>
      <c r="V516" s="1457"/>
      <c r="W516" s="1457"/>
      <c r="X516" s="1457"/>
      <c r="Y516" s="1457"/>
    </row>
    <row r="517" spans="1:25" x14ac:dyDescent="0.2">
      <c r="A517" s="2296"/>
      <c r="B517" s="2296"/>
      <c r="C517" s="2296"/>
      <c r="D517" s="2296"/>
      <c r="E517" s="1456"/>
      <c r="R517" s="1457"/>
      <c r="S517" s="1457"/>
      <c r="T517" s="1457"/>
      <c r="U517" s="1457"/>
      <c r="V517" s="1457"/>
      <c r="W517" s="1457"/>
      <c r="X517" s="1457"/>
      <c r="Y517" s="1457"/>
    </row>
    <row r="518" spans="1:25" x14ac:dyDescent="0.2">
      <c r="A518" s="2296"/>
      <c r="B518" s="2296"/>
      <c r="C518" s="2296"/>
      <c r="D518" s="2296"/>
      <c r="E518" s="1456"/>
      <c r="R518" s="1457"/>
      <c r="S518" s="1457"/>
      <c r="T518" s="1457"/>
      <c r="U518" s="1457"/>
      <c r="V518" s="1457"/>
      <c r="W518" s="1457"/>
      <c r="X518" s="1457"/>
      <c r="Y518" s="1457"/>
    </row>
    <row r="519" spans="1:25" x14ac:dyDescent="0.2">
      <c r="A519" s="2296"/>
      <c r="B519" s="2296"/>
      <c r="C519" s="2296"/>
      <c r="D519" s="2296"/>
      <c r="E519" s="1456"/>
      <c r="R519" s="1457"/>
      <c r="S519" s="1457"/>
      <c r="T519" s="1457"/>
      <c r="U519" s="1457"/>
      <c r="V519" s="1457"/>
      <c r="W519" s="1457"/>
      <c r="X519" s="1457"/>
      <c r="Y519" s="1457"/>
    </row>
    <row r="520" spans="1:25" x14ac:dyDescent="0.2">
      <c r="A520" s="2296"/>
      <c r="B520" s="2296"/>
      <c r="C520" s="2296"/>
      <c r="D520" s="2296"/>
      <c r="E520" s="1456"/>
      <c r="R520" s="1457"/>
      <c r="S520" s="1457"/>
      <c r="T520" s="1457"/>
      <c r="U520" s="1457"/>
      <c r="V520" s="1457"/>
      <c r="W520" s="1457"/>
      <c r="X520" s="1457"/>
      <c r="Y520" s="1457"/>
    </row>
    <row r="521" spans="1:25" x14ac:dyDescent="0.2">
      <c r="A521" s="2296"/>
      <c r="B521" s="2296"/>
      <c r="C521" s="2296"/>
      <c r="D521" s="2296"/>
      <c r="E521" s="1456"/>
      <c r="R521" s="1457"/>
      <c r="S521" s="1457"/>
      <c r="T521" s="1457"/>
      <c r="U521" s="1457"/>
      <c r="V521" s="1457"/>
      <c r="W521" s="1457"/>
      <c r="X521" s="1457"/>
      <c r="Y521" s="1457"/>
    </row>
    <row r="522" spans="1:25" x14ac:dyDescent="0.2">
      <c r="A522" s="2296"/>
      <c r="B522" s="2296"/>
      <c r="C522" s="2296"/>
      <c r="D522" s="2296"/>
      <c r="E522" s="1456"/>
      <c r="R522" s="1457"/>
      <c r="S522" s="1457"/>
      <c r="T522" s="1457"/>
      <c r="U522" s="1457"/>
      <c r="V522" s="1457"/>
      <c r="W522" s="1457"/>
      <c r="X522" s="1457"/>
      <c r="Y522" s="1457"/>
    </row>
    <row r="523" spans="1:25" x14ac:dyDescent="0.2">
      <c r="A523" s="2296"/>
      <c r="B523" s="2296"/>
      <c r="C523" s="2296"/>
      <c r="D523" s="2296"/>
      <c r="E523" s="1456"/>
      <c r="R523" s="1457"/>
      <c r="S523" s="1457"/>
      <c r="T523" s="1457"/>
      <c r="U523" s="1457"/>
      <c r="V523" s="1457"/>
      <c r="W523" s="1457"/>
      <c r="X523" s="1457"/>
      <c r="Y523" s="1457"/>
    </row>
    <row r="524" spans="1:25" x14ac:dyDescent="0.2">
      <c r="A524" s="2296"/>
      <c r="B524" s="2296"/>
      <c r="C524" s="2296"/>
      <c r="D524" s="2296"/>
      <c r="E524" s="1456"/>
      <c r="R524" s="1457"/>
      <c r="S524" s="1457"/>
      <c r="T524" s="1457"/>
      <c r="U524" s="1457"/>
      <c r="V524" s="1457"/>
      <c r="W524" s="1457"/>
      <c r="X524" s="1457"/>
      <c r="Y524" s="1457"/>
    </row>
    <row r="525" spans="1:25" x14ac:dyDescent="0.2">
      <c r="A525" s="2296"/>
      <c r="B525" s="2296"/>
      <c r="C525" s="2296"/>
      <c r="D525" s="2296"/>
      <c r="E525" s="1456"/>
      <c r="R525" s="1457"/>
      <c r="S525" s="1457"/>
      <c r="T525" s="1457"/>
      <c r="U525" s="1457"/>
      <c r="V525" s="1457"/>
      <c r="W525" s="1457"/>
      <c r="X525" s="1457"/>
      <c r="Y525" s="1457"/>
    </row>
    <row r="526" spans="1:25" x14ac:dyDescent="0.2">
      <c r="A526" s="2296"/>
      <c r="B526" s="2296"/>
      <c r="C526" s="2296"/>
      <c r="D526" s="2296"/>
      <c r="E526" s="1456"/>
      <c r="R526" s="1457"/>
      <c r="S526" s="1457"/>
      <c r="T526" s="1457"/>
      <c r="U526" s="1457"/>
      <c r="V526" s="1457"/>
      <c r="W526" s="1457"/>
      <c r="X526" s="1457"/>
      <c r="Y526" s="1457"/>
    </row>
    <row r="527" spans="1:25" x14ac:dyDescent="0.2">
      <c r="A527" s="2296"/>
      <c r="B527" s="2296"/>
      <c r="C527" s="2296"/>
      <c r="D527" s="2296"/>
      <c r="E527" s="1456"/>
      <c r="R527" s="1457"/>
      <c r="S527" s="1457"/>
      <c r="T527" s="1457"/>
      <c r="U527" s="1457"/>
      <c r="V527" s="1457"/>
      <c r="W527" s="1457"/>
      <c r="X527" s="1457"/>
      <c r="Y527" s="1457"/>
    </row>
    <row r="528" spans="1:25" x14ac:dyDescent="0.2">
      <c r="A528" s="2296"/>
      <c r="B528" s="2296"/>
      <c r="C528" s="2296"/>
      <c r="D528" s="2296"/>
      <c r="E528" s="1456"/>
      <c r="R528" s="1457"/>
      <c r="S528" s="1457"/>
      <c r="T528" s="1457"/>
      <c r="U528" s="1457"/>
      <c r="V528" s="1457"/>
      <c r="W528" s="1457"/>
      <c r="X528" s="1457"/>
      <c r="Y528" s="1457"/>
    </row>
    <row r="529" spans="1:25" x14ac:dyDescent="0.2">
      <c r="A529" s="2296"/>
      <c r="B529" s="2296"/>
      <c r="C529" s="2296"/>
      <c r="D529" s="2296"/>
      <c r="E529" s="1456"/>
      <c r="R529" s="1457"/>
      <c r="S529" s="1457"/>
      <c r="T529" s="1457"/>
      <c r="U529" s="1457"/>
      <c r="V529" s="1457"/>
      <c r="W529" s="1457"/>
      <c r="X529" s="1457"/>
      <c r="Y529" s="1457"/>
    </row>
    <row r="530" spans="1:25" x14ac:dyDescent="0.2">
      <c r="A530" s="2296"/>
      <c r="B530" s="2296"/>
      <c r="C530" s="2296"/>
      <c r="D530" s="2296"/>
      <c r="E530" s="1456"/>
      <c r="R530" s="1457"/>
      <c r="S530" s="1457"/>
      <c r="T530" s="1457"/>
      <c r="U530" s="1457"/>
      <c r="V530" s="1457"/>
      <c r="W530" s="1457"/>
      <c r="X530" s="1457"/>
      <c r="Y530" s="1457"/>
    </row>
    <row r="531" spans="1:25" x14ac:dyDescent="0.2">
      <c r="A531" s="2296"/>
      <c r="B531" s="2296"/>
      <c r="C531" s="2296"/>
      <c r="D531" s="2296"/>
      <c r="E531" s="1456"/>
      <c r="R531" s="1457"/>
      <c r="S531" s="1457"/>
      <c r="T531" s="1457"/>
      <c r="U531" s="1457"/>
      <c r="V531" s="1457"/>
      <c r="W531" s="1457"/>
      <c r="X531" s="1457"/>
      <c r="Y531" s="1457"/>
    </row>
    <row r="532" spans="1:25" x14ac:dyDescent="0.2">
      <c r="A532" s="2296"/>
      <c r="B532" s="2296"/>
      <c r="C532" s="2296"/>
      <c r="D532" s="2296"/>
      <c r="E532" s="1456"/>
      <c r="R532" s="1457"/>
      <c r="S532" s="1457"/>
      <c r="T532" s="1457"/>
      <c r="U532" s="1457"/>
      <c r="V532" s="1457"/>
      <c r="W532" s="1457"/>
      <c r="X532" s="1457"/>
      <c r="Y532" s="1457"/>
    </row>
    <row r="533" spans="1:25" x14ac:dyDescent="0.2">
      <c r="A533" s="2296"/>
      <c r="B533" s="2296"/>
      <c r="C533" s="2296"/>
      <c r="D533" s="2296"/>
      <c r="E533" s="1456"/>
      <c r="R533" s="1457"/>
      <c r="S533" s="1457"/>
      <c r="T533" s="1457"/>
      <c r="U533" s="1457"/>
      <c r="V533" s="1457"/>
      <c r="W533" s="1457"/>
      <c r="X533" s="1457"/>
      <c r="Y533" s="1457"/>
    </row>
    <row r="534" spans="1:25" x14ac:dyDescent="0.2">
      <c r="A534" s="2296"/>
      <c r="B534" s="2296"/>
      <c r="C534" s="2296"/>
      <c r="D534" s="2296"/>
      <c r="E534" s="1456"/>
      <c r="R534" s="1457"/>
      <c r="S534" s="1457"/>
      <c r="T534" s="1457"/>
      <c r="U534" s="1457"/>
      <c r="V534" s="1457"/>
      <c r="W534" s="1457"/>
      <c r="X534" s="1457"/>
      <c r="Y534" s="1457"/>
    </row>
    <row r="535" spans="1:25" x14ac:dyDescent="0.2">
      <c r="A535" s="2296"/>
      <c r="B535" s="2296"/>
      <c r="C535" s="2296"/>
      <c r="D535" s="2296"/>
      <c r="E535" s="1456"/>
      <c r="R535" s="1457"/>
      <c r="S535" s="1457"/>
      <c r="T535" s="1457"/>
      <c r="U535" s="1457"/>
      <c r="V535" s="1457"/>
      <c r="W535" s="1457"/>
      <c r="X535" s="1457"/>
      <c r="Y535" s="1457"/>
    </row>
    <row r="536" spans="1:25" x14ac:dyDescent="0.2">
      <c r="A536" s="2296"/>
      <c r="B536" s="2296"/>
      <c r="C536" s="2296"/>
      <c r="D536" s="2296"/>
      <c r="E536" s="1456"/>
      <c r="R536" s="1457"/>
      <c r="S536" s="1457"/>
      <c r="T536" s="1457"/>
      <c r="U536" s="1457"/>
      <c r="V536" s="1457"/>
      <c r="W536" s="1457"/>
      <c r="X536" s="1457"/>
      <c r="Y536" s="1457"/>
    </row>
    <row r="537" spans="1:25" x14ac:dyDescent="0.2">
      <c r="A537" s="2296"/>
      <c r="B537" s="2296"/>
      <c r="C537" s="2296"/>
      <c r="D537" s="2296"/>
      <c r="E537" s="1456"/>
      <c r="R537" s="1457"/>
      <c r="S537" s="1457"/>
      <c r="T537" s="1457"/>
      <c r="U537" s="1457"/>
      <c r="V537" s="1457"/>
      <c r="W537" s="1457"/>
      <c r="X537" s="1457"/>
      <c r="Y537" s="1457"/>
    </row>
    <row r="538" spans="1:25" x14ac:dyDescent="0.2">
      <c r="A538" s="2296"/>
      <c r="B538" s="2296"/>
      <c r="C538" s="2296"/>
      <c r="D538" s="2296"/>
      <c r="E538" s="1456"/>
      <c r="R538" s="1457"/>
      <c r="S538" s="1457"/>
      <c r="T538" s="1457"/>
      <c r="U538" s="1457"/>
      <c r="V538" s="1457"/>
      <c r="W538" s="1457"/>
      <c r="X538" s="1457"/>
      <c r="Y538" s="1457"/>
    </row>
    <row r="539" spans="1:25" x14ac:dyDescent="0.2">
      <c r="A539" s="2296"/>
      <c r="B539" s="2296"/>
      <c r="C539" s="2296"/>
      <c r="D539" s="2296"/>
      <c r="E539" s="1456"/>
      <c r="R539" s="1457"/>
      <c r="S539" s="1457"/>
      <c r="T539" s="1457"/>
      <c r="U539" s="1457"/>
      <c r="V539" s="1457"/>
      <c r="W539" s="1457"/>
      <c r="X539" s="1457"/>
      <c r="Y539" s="1457"/>
    </row>
    <row r="540" spans="1:25" x14ac:dyDescent="0.2">
      <c r="A540" s="2296"/>
      <c r="B540" s="2296"/>
      <c r="C540" s="2296"/>
      <c r="D540" s="2296"/>
      <c r="E540" s="1456"/>
      <c r="R540" s="1457"/>
      <c r="S540" s="1457"/>
      <c r="T540" s="1457"/>
      <c r="U540" s="1457"/>
      <c r="V540" s="1457"/>
      <c r="W540" s="1457"/>
      <c r="X540" s="1457"/>
      <c r="Y540" s="1457"/>
    </row>
    <row r="541" spans="1:25" x14ac:dyDescent="0.2">
      <c r="A541" s="2296"/>
      <c r="B541" s="2296"/>
      <c r="C541" s="2296"/>
      <c r="D541" s="2296"/>
      <c r="E541" s="1456"/>
      <c r="R541" s="1457"/>
      <c r="S541" s="1457"/>
      <c r="T541" s="1457"/>
      <c r="U541" s="1457"/>
      <c r="V541" s="1457"/>
      <c r="W541" s="1457"/>
      <c r="X541" s="1457"/>
      <c r="Y541" s="1457"/>
    </row>
    <row r="542" spans="1:25" x14ac:dyDescent="0.2">
      <c r="A542" s="2296"/>
      <c r="B542" s="2296"/>
      <c r="C542" s="2296"/>
      <c r="D542" s="2296"/>
      <c r="E542" s="1456"/>
      <c r="R542" s="1457"/>
      <c r="S542" s="1457"/>
      <c r="T542" s="1457"/>
      <c r="U542" s="1457"/>
      <c r="V542" s="1457"/>
      <c r="W542" s="1457"/>
      <c r="X542" s="1457"/>
      <c r="Y542" s="1457"/>
    </row>
    <row r="543" spans="1:25" x14ac:dyDescent="0.2">
      <c r="A543" s="2296"/>
      <c r="B543" s="2296"/>
      <c r="C543" s="2296"/>
      <c r="D543" s="2296"/>
      <c r="E543" s="1456"/>
      <c r="R543" s="1457"/>
      <c r="S543" s="1457"/>
      <c r="T543" s="1457"/>
      <c r="U543" s="1457"/>
      <c r="V543" s="1457"/>
      <c r="W543" s="1457"/>
      <c r="X543" s="1457"/>
      <c r="Y543" s="1457"/>
    </row>
    <row r="544" spans="1:25" x14ac:dyDescent="0.2">
      <c r="A544" s="2296"/>
      <c r="B544" s="2296"/>
      <c r="C544" s="2296"/>
      <c r="D544" s="2296"/>
      <c r="E544" s="1456"/>
      <c r="R544" s="1457"/>
      <c r="S544" s="1457"/>
      <c r="T544" s="1457"/>
      <c r="U544" s="1457"/>
      <c r="V544" s="1457"/>
      <c r="W544" s="1457"/>
      <c r="X544" s="1457"/>
      <c r="Y544" s="1457"/>
    </row>
    <row r="545" spans="1:25" x14ac:dyDescent="0.2">
      <c r="A545" s="2296"/>
      <c r="B545" s="2296"/>
      <c r="C545" s="2296"/>
      <c r="D545" s="2296"/>
      <c r="E545" s="1456"/>
      <c r="R545" s="1457"/>
      <c r="S545" s="1457"/>
      <c r="T545" s="1457"/>
      <c r="U545" s="1457"/>
      <c r="V545" s="1457"/>
      <c r="W545" s="1457"/>
      <c r="X545" s="1457"/>
      <c r="Y545" s="1457"/>
    </row>
    <row r="546" spans="1:25" x14ac:dyDescent="0.2">
      <c r="A546" s="2296"/>
      <c r="B546" s="2296"/>
      <c r="C546" s="2296"/>
      <c r="D546" s="2296"/>
      <c r="E546" s="1456"/>
      <c r="R546" s="1457"/>
      <c r="S546" s="1457"/>
      <c r="T546" s="1457"/>
      <c r="U546" s="1457"/>
      <c r="V546" s="1457"/>
      <c r="W546" s="1457"/>
      <c r="X546" s="1457"/>
      <c r="Y546" s="1457"/>
    </row>
    <row r="547" spans="1:25" x14ac:dyDescent="0.2">
      <c r="A547" s="2296"/>
      <c r="B547" s="2296"/>
      <c r="C547" s="2296"/>
      <c r="D547" s="2296"/>
      <c r="E547" s="1456"/>
      <c r="R547" s="1457"/>
      <c r="S547" s="1457"/>
      <c r="T547" s="1457"/>
      <c r="U547" s="1457"/>
      <c r="V547" s="1457"/>
      <c r="W547" s="1457"/>
      <c r="X547" s="1457"/>
      <c r="Y547" s="1457"/>
    </row>
    <row r="548" spans="1:25" x14ac:dyDescent="0.2">
      <c r="A548" s="2296"/>
      <c r="B548" s="2296"/>
      <c r="C548" s="2296"/>
      <c r="D548" s="2296"/>
      <c r="E548" s="1456"/>
      <c r="R548" s="1457"/>
      <c r="S548" s="1457"/>
      <c r="T548" s="1457"/>
      <c r="U548" s="1457"/>
      <c r="V548" s="1457"/>
      <c r="W548" s="1457"/>
      <c r="X548" s="1457"/>
      <c r="Y548" s="1457"/>
    </row>
    <row r="549" spans="1:25" x14ac:dyDescent="0.2">
      <c r="A549" s="2296"/>
      <c r="B549" s="2296"/>
      <c r="C549" s="2296"/>
      <c r="D549" s="2296"/>
      <c r="E549" s="1456"/>
      <c r="R549" s="1457"/>
      <c r="S549" s="1457"/>
      <c r="T549" s="1457"/>
      <c r="U549" s="1457"/>
      <c r="V549" s="1457"/>
      <c r="W549" s="1457"/>
      <c r="X549" s="1457"/>
      <c r="Y549" s="1457"/>
    </row>
    <row r="550" spans="1:25" x14ac:dyDescent="0.2">
      <c r="A550" s="2296"/>
      <c r="B550" s="2296"/>
      <c r="C550" s="2296"/>
      <c r="D550" s="2296"/>
      <c r="E550" s="1456"/>
      <c r="R550" s="1457"/>
      <c r="S550" s="1457"/>
      <c r="T550" s="1457"/>
      <c r="U550" s="1457"/>
      <c r="V550" s="1457"/>
      <c r="W550" s="1457"/>
      <c r="X550" s="1457"/>
      <c r="Y550" s="1457"/>
    </row>
    <row r="551" spans="1:25" x14ac:dyDescent="0.2">
      <c r="A551" s="2296"/>
      <c r="B551" s="2296"/>
      <c r="C551" s="2296"/>
      <c r="D551" s="2296"/>
      <c r="E551" s="1456"/>
      <c r="R551" s="1457"/>
      <c r="S551" s="1457"/>
      <c r="T551" s="1457"/>
      <c r="U551" s="1457"/>
      <c r="V551" s="1457"/>
      <c r="W551" s="1457"/>
      <c r="X551" s="1457"/>
      <c r="Y551" s="1457"/>
    </row>
    <row r="552" spans="1:25" x14ac:dyDescent="0.2">
      <c r="A552" s="2296"/>
      <c r="B552" s="2296"/>
      <c r="C552" s="2296"/>
      <c r="D552" s="2296"/>
      <c r="E552" s="1456"/>
      <c r="R552" s="1457"/>
      <c r="S552" s="1457"/>
      <c r="T552" s="1457"/>
      <c r="U552" s="1457"/>
      <c r="V552" s="1457"/>
      <c r="W552" s="1457"/>
      <c r="X552" s="1457"/>
      <c r="Y552" s="1457"/>
    </row>
    <row r="553" spans="1:25" x14ac:dyDescent="0.2">
      <c r="A553" s="2296"/>
      <c r="B553" s="2296"/>
      <c r="C553" s="2296"/>
      <c r="D553" s="2296"/>
      <c r="E553" s="1456"/>
      <c r="R553" s="1457"/>
      <c r="S553" s="1457"/>
      <c r="T553" s="1457"/>
      <c r="U553" s="1457"/>
      <c r="V553" s="1457"/>
      <c r="W553" s="1457"/>
      <c r="X553" s="1457"/>
      <c r="Y553" s="1457"/>
    </row>
    <row r="554" spans="1:25" x14ac:dyDescent="0.2">
      <c r="A554" s="2296"/>
      <c r="B554" s="2296"/>
      <c r="C554" s="2296"/>
      <c r="D554" s="2296"/>
      <c r="E554" s="1456"/>
      <c r="R554" s="1457"/>
      <c r="S554" s="1457"/>
      <c r="T554" s="1457"/>
      <c r="U554" s="1457"/>
      <c r="V554" s="1457"/>
      <c r="W554" s="1457"/>
      <c r="X554" s="1457"/>
      <c r="Y554" s="1457"/>
    </row>
    <row r="555" spans="1:25" x14ac:dyDescent="0.2">
      <c r="A555" s="2296"/>
      <c r="B555" s="2296"/>
      <c r="C555" s="2296"/>
      <c r="D555" s="2296"/>
      <c r="E555" s="1456"/>
      <c r="R555" s="1457"/>
      <c r="S555" s="1457"/>
      <c r="T555" s="1457"/>
      <c r="U555" s="1457"/>
      <c r="V555" s="1457"/>
      <c r="W555" s="1457"/>
      <c r="X555" s="1457"/>
      <c r="Y555" s="1457"/>
    </row>
    <row r="556" spans="1:25" x14ac:dyDescent="0.2">
      <c r="A556" s="2296"/>
      <c r="B556" s="2296"/>
      <c r="C556" s="2296"/>
      <c r="D556" s="2296"/>
      <c r="E556" s="1456"/>
      <c r="R556" s="1457"/>
      <c r="S556" s="1457"/>
      <c r="T556" s="1457"/>
      <c r="U556" s="1457"/>
      <c r="V556" s="1457"/>
      <c r="W556" s="1457"/>
      <c r="X556" s="1457"/>
      <c r="Y556" s="1457"/>
    </row>
    <row r="557" spans="1:25" x14ac:dyDescent="0.2">
      <c r="A557" s="2296"/>
      <c r="B557" s="2296"/>
      <c r="C557" s="2296"/>
      <c r="D557" s="2296"/>
      <c r="E557" s="1456"/>
      <c r="R557" s="1457"/>
      <c r="S557" s="1457"/>
      <c r="T557" s="1457"/>
      <c r="U557" s="1457"/>
      <c r="V557" s="1457"/>
      <c r="W557" s="1457"/>
      <c r="X557" s="1457"/>
      <c r="Y557" s="1457"/>
    </row>
    <row r="558" spans="1:25" x14ac:dyDescent="0.2">
      <c r="A558" s="2296"/>
      <c r="B558" s="2296"/>
      <c r="C558" s="2296"/>
      <c r="D558" s="2296"/>
      <c r="E558" s="1456"/>
      <c r="R558" s="1457"/>
      <c r="S558" s="1457"/>
      <c r="T558" s="1457"/>
      <c r="U558" s="1457"/>
      <c r="V558" s="1457"/>
      <c r="W558" s="1457"/>
      <c r="X558" s="1457"/>
      <c r="Y558" s="1457"/>
    </row>
    <row r="559" spans="1:25" x14ac:dyDescent="0.2">
      <c r="A559" s="2296"/>
      <c r="B559" s="2296"/>
      <c r="C559" s="2296"/>
      <c r="D559" s="2296"/>
      <c r="E559" s="1456"/>
      <c r="R559" s="1457"/>
      <c r="S559" s="1457"/>
      <c r="T559" s="1457"/>
      <c r="U559" s="1457"/>
      <c r="V559" s="1457"/>
      <c r="W559" s="1457"/>
      <c r="X559" s="1457"/>
      <c r="Y559" s="1457"/>
    </row>
    <row r="560" spans="1:25" x14ac:dyDescent="0.2">
      <c r="A560" s="2296"/>
      <c r="B560" s="2296"/>
      <c r="C560" s="2296"/>
      <c r="D560" s="2296"/>
      <c r="E560" s="1456"/>
      <c r="R560" s="1457"/>
      <c r="S560" s="1457"/>
      <c r="T560" s="1457"/>
      <c r="U560" s="1457"/>
      <c r="V560" s="1457"/>
      <c r="W560" s="1457"/>
      <c r="X560" s="1457"/>
      <c r="Y560" s="1457"/>
    </row>
    <row r="561" spans="1:25" x14ac:dyDescent="0.2">
      <c r="A561" s="2296"/>
      <c r="B561" s="2296"/>
      <c r="C561" s="2296"/>
      <c r="D561" s="2296"/>
      <c r="E561" s="1456"/>
      <c r="R561" s="1457"/>
      <c r="S561" s="1457"/>
      <c r="T561" s="1457"/>
      <c r="U561" s="1457"/>
      <c r="V561" s="1457"/>
      <c r="W561" s="1457"/>
      <c r="X561" s="1457"/>
      <c r="Y561" s="1457"/>
    </row>
    <row r="562" spans="1:25" x14ac:dyDescent="0.2">
      <c r="A562" s="2296"/>
      <c r="B562" s="2296"/>
      <c r="C562" s="2296"/>
      <c r="D562" s="2296"/>
      <c r="E562" s="1456"/>
      <c r="R562" s="1457"/>
      <c r="S562" s="1457"/>
      <c r="T562" s="1457"/>
      <c r="U562" s="1457"/>
      <c r="V562" s="1457"/>
      <c r="W562" s="1457"/>
      <c r="X562" s="1457"/>
      <c r="Y562" s="1457"/>
    </row>
    <row r="563" spans="1:25" x14ac:dyDescent="0.2">
      <c r="A563" s="2296"/>
      <c r="B563" s="2296"/>
      <c r="C563" s="2296"/>
      <c r="D563" s="2296"/>
      <c r="E563" s="1456"/>
      <c r="R563" s="1457"/>
      <c r="S563" s="1457"/>
      <c r="T563" s="1457"/>
      <c r="U563" s="1457"/>
      <c r="V563" s="1457"/>
      <c r="W563" s="1457"/>
      <c r="X563" s="1457"/>
      <c r="Y563" s="1457"/>
    </row>
    <row r="564" spans="1:25" x14ac:dyDescent="0.2">
      <c r="A564" s="2296"/>
      <c r="B564" s="2296"/>
      <c r="C564" s="2296"/>
      <c r="D564" s="2296"/>
      <c r="E564" s="1456"/>
      <c r="R564" s="1457"/>
      <c r="S564" s="1457"/>
      <c r="T564" s="1457"/>
      <c r="U564" s="1457"/>
      <c r="V564" s="1457"/>
      <c r="W564" s="1457"/>
      <c r="X564" s="1457"/>
      <c r="Y564" s="1457"/>
    </row>
    <row r="565" spans="1:25" x14ac:dyDescent="0.2">
      <c r="A565" s="2296"/>
      <c r="B565" s="2296"/>
      <c r="C565" s="2296"/>
      <c r="D565" s="2296"/>
      <c r="E565" s="1456"/>
      <c r="R565" s="1457"/>
      <c r="S565" s="1457"/>
      <c r="T565" s="1457"/>
      <c r="U565" s="1457"/>
      <c r="V565" s="1457"/>
      <c r="W565" s="1457"/>
      <c r="X565" s="1457"/>
      <c r="Y565" s="1457"/>
    </row>
    <row r="566" spans="1:25" x14ac:dyDescent="0.2">
      <c r="A566" s="2296"/>
      <c r="B566" s="2296"/>
      <c r="C566" s="2296"/>
      <c r="D566" s="2296"/>
      <c r="E566" s="1456"/>
      <c r="R566" s="1457"/>
      <c r="S566" s="1457"/>
      <c r="T566" s="1457"/>
      <c r="U566" s="1457"/>
      <c r="V566" s="1457"/>
      <c r="W566" s="1457"/>
      <c r="X566" s="1457"/>
      <c r="Y566" s="1457"/>
    </row>
    <row r="567" spans="1:25" x14ac:dyDescent="0.2">
      <c r="A567" s="2296"/>
      <c r="B567" s="2296"/>
      <c r="C567" s="2296"/>
      <c r="D567" s="2296"/>
      <c r="E567" s="1456"/>
      <c r="R567" s="1457"/>
      <c r="S567" s="1457"/>
      <c r="T567" s="1457"/>
      <c r="U567" s="1457"/>
      <c r="V567" s="1457"/>
      <c r="W567" s="1457"/>
      <c r="X567" s="1457"/>
      <c r="Y567" s="1457"/>
    </row>
    <row r="568" spans="1:25" x14ac:dyDescent="0.2">
      <c r="A568" s="2296"/>
      <c r="B568" s="2296"/>
      <c r="C568" s="2296"/>
      <c r="D568" s="2296"/>
      <c r="E568" s="1456"/>
      <c r="R568" s="1457"/>
      <c r="S568" s="1457"/>
      <c r="T568" s="1457"/>
      <c r="U568" s="1457"/>
      <c r="V568" s="1457"/>
      <c r="W568" s="1457"/>
      <c r="X568" s="1457"/>
      <c r="Y568" s="1457"/>
    </row>
    <row r="569" spans="1:25" x14ac:dyDescent="0.2">
      <c r="A569" s="2296"/>
      <c r="B569" s="2296"/>
      <c r="C569" s="2296"/>
      <c r="D569" s="2296"/>
      <c r="E569" s="1456"/>
      <c r="R569" s="1457"/>
      <c r="S569" s="1457"/>
      <c r="T569" s="1457"/>
      <c r="U569" s="1457"/>
      <c r="V569" s="1457"/>
      <c r="W569" s="1457"/>
      <c r="X569" s="1457"/>
      <c r="Y569" s="1457"/>
    </row>
    <row r="570" spans="1:25" x14ac:dyDescent="0.2">
      <c r="A570" s="2296"/>
      <c r="B570" s="2296"/>
      <c r="C570" s="2296"/>
      <c r="D570" s="2296"/>
      <c r="E570" s="1456"/>
      <c r="R570" s="1457"/>
      <c r="S570" s="1457"/>
      <c r="T570" s="1457"/>
      <c r="U570" s="1457"/>
      <c r="V570" s="1457"/>
      <c r="W570" s="1457"/>
      <c r="X570" s="1457"/>
      <c r="Y570" s="1457"/>
    </row>
    <row r="571" spans="1:25" x14ac:dyDescent="0.2">
      <c r="A571" s="2296"/>
      <c r="B571" s="2296"/>
      <c r="C571" s="2296"/>
      <c r="D571" s="2296"/>
      <c r="E571" s="1456"/>
      <c r="R571" s="1457"/>
      <c r="S571" s="1457"/>
      <c r="T571" s="1457"/>
      <c r="U571" s="1457"/>
      <c r="V571" s="1457"/>
      <c r="W571" s="1457"/>
      <c r="X571" s="1457"/>
      <c r="Y571" s="1457"/>
    </row>
    <row r="572" spans="1:25" x14ac:dyDescent="0.2">
      <c r="A572" s="2296"/>
      <c r="B572" s="2296"/>
      <c r="C572" s="2296"/>
      <c r="D572" s="2296"/>
      <c r="E572" s="1456"/>
      <c r="R572" s="1457"/>
      <c r="S572" s="1457"/>
      <c r="T572" s="1457"/>
      <c r="U572" s="1457"/>
      <c r="V572" s="1457"/>
      <c r="W572" s="1457"/>
      <c r="X572" s="1457"/>
      <c r="Y572" s="1457"/>
    </row>
    <row r="573" spans="1:25" x14ac:dyDescent="0.2">
      <c r="A573" s="2296"/>
      <c r="B573" s="2296"/>
      <c r="C573" s="2296"/>
      <c r="D573" s="2296"/>
      <c r="E573" s="1456"/>
      <c r="R573" s="1457"/>
      <c r="S573" s="1457"/>
      <c r="T573" s="1457"/>
      <c r="U573" s="1457"/>
      <c r="V573" s="1457"/>
      <c r="W573" s="1457"/>
      <c r="X573" s="1457"/>
      <c r="Y573" s="1457"/>
    </row>
    <row r="574" spans="1:25" x14ac:dyDescent="0.2">
      <c r="A574" s="2296"/>
      <c r="B574" s="2296"/>
      <c r="C574" s="2296"/>
      <c r="D574" s="2296"/>
      <c r="E574" s="1456"/>
      <c r="R574" s="1457"/>
      <c r="S574" s="1457"/>
      <c r="T574" s="1457"/>
      <c r="U574" s="1457"/>
      <c r="V574" s="1457"/>
      <c r="W574" s="1457"/>
      <c r="X574" s="1457"/>
      <c r="Y574" s="1457"/>
    </row>
    <row r="575" spans="1:25" x14ac:dyDescent="0.2">
      <c r="A575" s="2296"/>
      <c r="B575" s="2296"/>
      <c r="C575" s="2296"/>
      <c r="D575" s="2296"/>
      <c r="E575" s="1456"/>
      <c r="R575" s="1457"/>
      <c r="S575" s="1457"/>
      <c r="T575" s="1457"/>
      <c r="U575" s="1457"/>
      <c r="V575" s="1457"/>
      <c r="W575" s="1457"/>
      <c r="X575" s="1457"/>
      <c r="Y575" s="1457"/>
    </row>
    <row r="576" spans="1:25" x14ac:dyDescent="0.2">
      <c r="A576" s="2296"/>
      <c r="B576" s="2296"/>
      <c r="C576" s="2296"/>
      <c r="D576" s="2296"/>
      <c r="E576" s="1456"/>
      <c r="R576" s="1457"/>
      <c r="S576" s="1457"/>
      <c r="T576" s="1457"/>
      <c r="U576" s="1457"/>
      <c r="V576" s="1457"/>
      <c r="W576" s="1457"/>
      <c r="X576" s="1457"/>
      <c r="Y576" s="1457"/>
    </row>
    <row r="577" spans="1:25" x14ac:dyDescent="0.2">
      <c r="A577" s="2296"/>
      <c r="B577" s="2296"/>
      <c r="C577" s="2296"/>
      <c r="D577" s="2296"/>
      <c r="E577" s="1456"/>
      <c r="R577" s="1457"/>
      <c r="S577" s="1457"/>
      <c r="T577" s="1457"/>
      <c r="U577" s="1457"/>
      <c r="V577" s="1457"/>
      <c r="W577" s="1457"/>
      <c r="X577" s="1457"/>
      <c r="Y577" s="1457"/>
    </row>
    <row r="578" spans="1:25" x14ac:dyDescent="0.2">
      <c r="A578" s="2296"/>
      <c r="B578" s="2296"/>
      <c r="C578" s="2296"/>
      <c r="D578" s="2296"/>
      <c r="E578" s="1456"/>
      <c r="R578" s="1457"/>
      <c r="S578" s="1457"/>
      <c r="T578" s="1457"/>
      <c r="U578" s="1457"/>
      <c r="V578" s="1457"/>
      <c r="W578" s="1457"/>
      <c r="X578" s="1457"/>
      <c r="Y578" s="1457"/>
    </row>
    <row r="579" spans="1:25" x14ac:dyDescent="0.2">
      <c r="A579" s="2296"/>
      <c r="B579" s="2296"/>
      <c r="C579" s="2296"/>
      <c r="D579" s="2296"/>
      <c r="E579" s="1456"/>
      <c r="R579" s="1457"/>
      <c r="S579" s="1457"/>
      <c r="T579" s="1457"/>
      <c r="U579" s="1457"/>
      <c r="V579" s="1457"/>
      <c r="W579" s="1457"/>
      <c r="X579" s="1457"/>
      <c r="Y579" s="1457"/>
    </row>
    <row r="580" spans="1:25" x14ac:dyDescent="0.2">
      <c r="A580" s="2296"/>
      <c r="B580" s="2296"/>
      <c r="C580" s="2296"/>
      <c r="D580" s="2296"/>
      <c r="E580" s="1456"/>
      <c r="R580" s="1457"/>
      <c r="S580" s="1457"/>
      <c r="T580" s="1457"/>
      <c r="U580" s="1457"/>
      <c r="V580" s="1457"/>
      <c r="W580" s="1457"/>
      <c r="X580" s="1457"/>
      <c r="Y580" s="1457"/>
    </row>
    <row r="581" spans="1:25" x14ac:dyDescent="0.2">
      <c r="A581" s="2296"/>
      <c r="B581" s="2296"/>
      <c r="C581" s="2296"/>
      <c r="D581" s="2296"/>
      <c r="E581" s="1456"/>
      <c r="R581" s="1457"/>
      <c r="S581" s="1457"/>
      <c r="T581" s="1457"/>
      <c r="U581" s="1457"/>
      <c r="V581" s="1457"/>
      <c r="W581" s="1457"/>
      <c r="X581" s="1457"/>
      <c r="Y581" s="1457"/>
    </row>
    <row r="582" spans="1:25" x14ac:dyDescent="0.2">
      <c r="A582" s="2296"/>
      <c r="B582" s="2296"/>
      <c r="C582" s="2296"/>
      <c r="D582" s="2296"/>
      <c r="E582" s="1456"/>
      <c r="R582" s="1457"/>
      <c r="S582" s="1457"/>
      <c r="T582" s="1457"/>
      <c r="U582" s="1457"/>
      <c r="V582" s="1457"/>
      <c r="W582" s="1457"/>
      <c r="X582" s="1457"/>
      <c r="Y582" s="1457"/>
    </row>
    <row r="583" spans="1:25" x14ac:dyDescent="0.2">
      <c r="A583" s="2296"/>
      <c r="B583" s="2296"/>
      <c r="C583" s="2296"/>
      <c r="D583" s="2296"/>
      <c r="E583" s="1456"/>
      <c r="R583" s="1457"/>
      <c r="S583" s="1457"/>
      <c r="T583" s="1457"/>
      <c r="U583" s="1457"/>
      <c r="V583" s="1457"/>
      <c r="W583" s="1457"/>
      <c r="X583" s="1457"/>
      <c r="Y583" s="1457"/>
    </row>
    <row r="584" spans="1:25" x14ac:dyDescent="0.2">
      <c r="A584" s="2296"/>
      <c r="B584" s="2296"/>
      <c r="C584" s="2296"/>
      <c r="D584" s="2296"/>
      <c r="E584" s="1456"/>
      <c r="R584" s="1457"/>
      <c r="S584" s="1457"/>
      <c r="T584" s="1457"/>
      <c r="U584" s="1457"/>
      <c r="V584" s="1457"/>
      <c r="W584" s="1457"/>
      <c r="X584" s="1457"/>
      <c r="Y584" s="1457"/>
    </row>
    <row r="585" spans="1:25" x14ac:dyDescent="0.2">
      <c r="A585" s="2296"/>
      <c r="B585" s="2296"/>
      <c r="C585" s="2296"/>
      <c r="D585" s="2296"/>
      <c r="E585" s="1456"/>
      <c r="R585" s="1457"/>
      <c r="S585" s="1457"/>
      <c r="T585" s="1457"/>
      <c r="U585" s="1457"/>
      <c r="V585" s="1457"/>
      <c r="W585" s="1457"/>
      <c r="X585" s="1457"/>
      <c r="Y585" s="1457"/>
    </row>
    <row r="586" spans="1:25" x14ac:dyDescent="0.2">
      <c r="A586" s="2296"/>
      <c r="B586" s="2296"/>
      <c r="C586" s="2296"/>
      <c r="D586" s="2296"/>
      <c r="E586" s="1456"/>
      <c r="R586" s="1457"/>
      <c r="S586" s="1457"/>
      <c r="T586" s="1457"/>
      <c r="U586" s="1457"/>
      <c r="V586" s="1457"/>
      <c r="W586" s="1457"/>
      <c r="X586" s="1457"/>
      <c r="Y586" s="1457"/>
    </row>
    <row r="587" spans="1:25" x14ac:dyDescent="0.2">
      <c r="A587" s="2296"/>
      <c r="B587" s="2296"/>
      <c r="C587" s="2296"/>
      <c r="D587" s="2296"/>
      <c r="E587" s="1456"/>
      <c r="R587" s="1457"/>
      <c r="S587" s="1457"/>
      <c r="T587" s="1457"/>
      <c r="U587" s="1457"/>
      <c r="V587" s="1457"/>
      <c r="W587" s="1457"/>
      <c r="X587" s="1457"/>
      <c r="Y587" s="1457"/>
    </row>
    <row r="588" spans="1:25" x14ac:dyDescent="0.2">
      <c r="A588" s="2296"/>
      <c r="B588" s="2296"/>
      <c r="C588" s="2296"/>
      <c r="D588" s="2296"/>
      <c r="E588" s="1456"/>
      <c r="R588" s="1457"/>
      <c r="S588" s="1457"/>
      <c r="T588" s="1457"/>
      <c r="U588" s="1457"/>
      <c r="V588" s="1457"/>
      <c r="W588" s="1457"/>
      <c r="X588" s="1457"/>
      <c r="Y588" s="1457"/>
    </row>
    <row r="589" spans="1:25" x14ac:dyDescent="0.2">
      <c r="A589" s="2296"/>
      <c r="B589" s="2296"/>
      <c r="C589" s="2296"/>
      <c r="D589" s="2296"/>
      <c r="E589" s="1456"/>
      <c r="R589" s="1457"/>
      <c r="S589" s="1457"/>
      <c r="T589" s="1457"/>
      <c r="U589" s="1457"/>
      <c r="V589" s="1457"/>
      <c r="W589" s="1457"/>
      <c r="X589" s="1457"/>
      <c r="Y589" s="1457"/>
    </row>
    <row r="590" spans="1:25" x14ac:dyDescent="0.2">
      <c r="A590" s="2296"/>
      <c r="B590" s="2296"/>
      <c r="C590" s="2296"/>
      <c r="D590" s="2296"/>
      <c r="E590" s="1456"/>
      <c r="R590" s="1457"/>
      <c r="S590" s="1457"/>
      <c r="T590" s="1457"/>
      <c r="U590" s="1457"/>
      <c r="V590" s="1457"/>
      <c r="W590" s="1457"/>
      <c r="X590" s="1457"/>
      <c r="Y590" s="1457"/>
    </row>
    <row r="591" spans="1:25" x14ac:dyDescent="0.2">
      <c r="A591" s="2296"/>
      <c r="B591" s="2296"/>
      <c r="C591" s="2296"/>
      <c r="D591" s="2296"/>
      <c r="E591" s="1456"/>
      <c r="R591" s="1457"/>
      <c r="S591" s="1457"/>
      <c r="T591" s="1457"/>
      <c r="U591" s="1457"/>
      <c r="V591" s="1457"/>
      <c r="W591" s="1457"/>
      <c r="X591" s="1457"/>
      <c r="Y591" s="1457"/>
    </row>
    <row r="592" spans="1:25" x14ac:dyDescent="0.2">
      <c r="A592" s="2296"/>
      <c r="B592" s="2296"/>
      <c r="C592" s="2296"/>
      <c r="D592" s="2296"/>
      <c r="E592" s="1456"/>
      <c r="R592" s="1457"/>
      <c r="S592" s="1457"/>
      <c r="T592" s="1457"/>
      <c r="U592" s="1457"/>
      <c r="V592" s="1457"/>
      <c r="W592" s="1457"/>
      <c r="X592" s="1457"/>
      <c r="Y592" s="1457"/>
    </row>
    <row r="593" spans="1:25" x14ac:dyDescent="0.2">
      <c r="A593" s="2296"/>
      <c r="B593" s="2296"/>
      <c r="C593" s="2296"/>
      <c r="D593" s="2296"/>
      <c r="E593" s="1456"/>
      <c r="R593" s="1457"/>
      <c r="S593" s="1457"/>
      <c r="T593" s="1457"/>
      <c r="U593" s="1457"/>
      <c r="V593" s="1457"/>
      <c r="W593" s="1457"/>
      <c r="X593" s="1457"/>
      <c r="Y593" s="1457"/>
    </row>
    <row r="594" spans="1:25" x14ac:dyDescent="0.2">
      <c r="A594" s="2296"/>
      <c r="B594" s="2296"/>
      <c r="C594" s="2296"/>
      <c r="D594" s="2296"/>
      <c r="E594" s="1456"/>
      <c r="R594" s="1457"/>
      <c r="S594" s="1457"/>
      <c r="T594" s="1457"/>
      <c r="U594" s="1457"/>
      <c r="V594" s="1457"/>
      <c r="W594" s="1457"/>
      <c r="X594" s="1457"/>
      <c r="Y594" s="1457"/>
    </row>
    <row r="595" spans="1:25" x14ac:dyDescent="0.2">
      <c r="A595" s="2296"/>
      <c r="B595" s="2296"/>
      <c r="C595" s="2296"/>
      <c r="D595" s="2296"/>
      <c r="E595" s="1456"/>
      <c r="R595" s="1457"/>
      <c r="S595" s="1457"/>
      <c r="T595" s="1457"/>
      <c r="U595" s="1457"/>
      <c r="V595" s="1457"/>
      <c r="W595" s="1457"/>
      <c r="X595" s="1457"/>
      <c r="Y595" s="1457"/>
    </row>
    <row r="596" spans="1:25" x14ac:dyDescent="0.2">
      <c r="A596" s="2296"/>
      <c r="B596" s="2296"/>
      <c r="C596" s="2296"/>
      <c r="D596" s="2296"/>
      <c r="E596" s="1456"/>
      <c r="R596" s="1457"/>
      <c r="S596" s="1457"/>
      <c r="T596" s="1457"/>
      <c r="U596" s="1457"/>
      <c r="V596" s="1457"/>
      <c r="W596" s="1457"/>
      <c r="X596" s="1457"/>
      <c r="Y596" s="1457"/>
    </row>
    <row r="597" spans="1:25" x14ac:dyDescent="0.2">
      <c r="A597" s="2296"/>
      <c r="B597" s="2296"/>
      <c r="C597" s="2296"/>
      <c r="D597" s="2296"/>
      <c r="E597" s="1456"/>
      <c r="R597" s="1457"/>
      <c r="S597" s="1457"/>
      <c r="T597" s="1457"/>
      <c r="U597" s="1457"/>
      <c r="V597" s="1457"/>
      <c r="W597" s="1457"/>
      <c r="X597" s="1457"/>
      <c r="Y597" s="1457"/>
    </row>
    <row r="598" spans="1:25" x14ac:dyDescent="0.2">
      <c r="A598" s="2296"/>
      <c r="B598" s="2296"/>
      <c r="C598" s="2296"/>
      <c r="D598" s="2296"/>
      <c r="E598" s="1456"/>
      <c r="R598" s="1457"/>
      <c r="S598" s="1457"/>
      <c r="T598" s="1457"/>
      <c r="U598" s="1457"/>
      <c r="V598" s="1457"/>
      <c r="W598" s="1457"/>
      <c r="X598" s="1457"/>
      <c r="Y598" s="1457"/>
    </row>
    <row r="599" spans="1:25" x14ac:dyDescent="0.2">
      <c r="A599" s="2296"/>
      <c r="B599" s="2296"/>
      <c r="C599" s="2296"/>
      <c r="D599" s="2296"/>
      <c r="E599" s="1456"/>
      <c r="R599" s="1457"/>
      <c r="S599" s="1457"/>
      <c r="T599" s="1457"/>
      <c r="U599" s="1457"/>
      <c r="V599" s="1457"/>
      <c r="W599" s="1457"/>
      <c r="X599" s="1457"/>
      <c r="Y599" s="1457"/>
    </row>
    <row r="600" spans="1:25" x14ac:dyDescent="0.2">
      <c r="A600" s="2296"/>
      <c r="B600" s="2296"/>
      <c r="C600" s="2296"/>
      <c r="D600" s="2296"/>
      <c r="E600" s="1456"/>
      <c r="R600" s="1457"/>
      <c r="S600" s="1457"/>
      <c r="T600" s="1457"/>
      <c r="U600" s="1457"/>
      <c r="V600" s="1457"/>
      <c r="W600" s="1457"/>
      <c r="X600" s="1457"/>
      <c r="Y600" s="1457"/>
    </row>
    <row r="601" spans="1:25" x14ac:dyDescent="0.2">
      <c r="A601" s="2296"/>
      <c r="B601" s="2296"/>
      <c r="C601" s="2296"/>
      <c r="D601" s="2296"/>
      <c r="E601" s="1456"/>
      <c r="R601" s="1457"/>
      <c r="S601" s="1457"/>
      <c r="T601" s="1457"/>
      <c r="U601" s="1457"/>
      <c r="V601" s="1457"/>
      <c r="W601" s="1457"/>
      <c r="X601" s="1457"/>
      <c r="Y601" s="1457"/>
    </row>
    <row r="602" spans="1:25" x14ac:dyDescent="0.2">
      <c r="A602" s="2296"/>
      <c r="B602" s="2296"/>
      <c r="C602" s="2296"/>
      <c r="D602" s="2296"/>
      <c r="E602" s="1456"/>
      <c r="R602" s="1457"/>
      <c r="S602" s="1457"/>
      <c r="T602" s="1457"/>
      <c r="U602" s="1457"/>
      <c r="V602" s="1457"/>
      <c r="W602" s="1457"/>
      <c r="X602" s="1457"/>
      <c r="Y602" s="1457"/>
    </row>
    <row r="603" spans="1:25" x14ac:dyDescent="0.2">
      <c r="A603" s="2296"/>
      <c r="B603" s="2296"/>
      <c r="C603" s="2296"/>
      <c r="D603" s="2296"/>
      <c r="E603" s="1456"/>
      <c r="R603" s="1457"/>
      <c r="S603" s="1457"/>
      <c r="T603" s="1457"/>
      <c r="U603" s="1457"/>
      <c r="V603" s="1457"/>
      <c r="W603" s="1457"/>
      <c r="X603" s="1457"/>
      <c r="Y603" s="1457"/>
    </row>
    <row r="604" spans="1:25" x14ac:dyDescent="0.2">
      <c r="A604" s="2296"/>
      <c r="B604" s="2296"/>
      <c r="C604" s="2296"/>
      <c r="D604" s="2296"/>
      <c r="E604" s="1456"/>
      <c r="R604" s="1457"/>
      <c r="S604" s="1457"/>
      <c r="T604" s="1457"/>
      <c r="U604" s="1457"/>
      <c r="V604" s="1457"/>
      <c r="W604" s="1457"/>
      <c r="X604" s="1457"/>
      <c r="Y604" s="1457"/>
    </row>
    <row r="605" spans="1:25" x14ac:dyDescent="0.2">
      <c r="A605" s="2296"/>
      <c r="B605" s="2296"/>
      <c r="C605" s="2296"/>
      <c r="D605" s="2296"/>
      <c r="E605" s="1456"/>
      <c r="R605" s="1457"/>
      <c r="S605" s="1457"/>
      <c r="T605" s="1457"/>
      <c r="U605" s="1457"/>
      <c r="V605" s="1457"/>
      <c r="W605" s="1457"/>
      <c r="X605" s="1457"/>
      <c r="Y605" s="1457"/>
    </row>
    <row r="606" spans="1:25" x14ac:dyDescent="0.2">
      <c r="A606" s="2296"/>
      <c r="B606" s="2296"/>
      <c r="C606" s="2296"/>
      <c r="D606" s="2296"/>
      <c r="E606" s="1456"/>
      <c r="R606" s="1457"/>
      <c r="S606" s="1457"/>
      <c r="T606" s="1457"/>
      <c r="U606" s="1457"/>
      <c r="V606" s="1457"/>
      <c r="W606" s="1457"/>
      <c r="X606" s="1457"/>
      <c r="Y606" s="1457"/>
    </row>
    <row r="607" spans="1:25" x14ac:dyDescent="0.2">
      <c r="A607" s="2296"/>
      <c r="B607" s="2296"/>
      <c r="C607" s="2296"/>
      <c r="D607" s="2296"/>
      <c r="E607" s="1456"/>
      <c r="R607" s="1457"/>
      <c r="S607" s="1457"/>
      <c r="T607" s="1457"/>
      <c r="U607" s="1457"/>
      <c r="V607" s="1457"/>
      <c r="W607" s="1457"/>
      <c r="X607" s="1457"/>
      <c r="Y607" s="1457"/>
    </row>
    <row r="608" spans="1:25" x14ac:dyDescent="0.2">
      <c r="A608" s="2296"/>
      <c r="B608" s="2296"/>
      <c r="C608" s="2296"/>
      <c r="D608" s="2296"/>
      <c r="E608" s="1456"/>
      <c r="R608" s="1457"/>
      <c r="S608" s="1457"/>
      <c r="T608" s="1457"/>
      <c r="U608" s="1457"/>
      <c r="V608" s="1457"/>
      <c r="W608" s="1457"/>
      <c r="X608" s="1457"/>
      <c r="Y608" s="1457"/>
    </row>
    <row r="609" spans="1:25" x14ac:dyDescent="0.2">
      <c r="A609" s="2296"/>
      <c r="B609" s="2296"/>
      <c r="C609" s="2296"/>
      <c r="D609" s="2296"/>
      <c r="E609" s="1456"/>
      <c r="R609" s="1457"/>
      <c r="S609" s="1457"/>
      <c r="T609" s="1457"/>
      <c r="U609" s="1457"/>
      <c r="V609" s="1457"/>
      <c r="W609" s="1457"/>
      <c r="X609" s="1457"/>
      <c r="Y609" s="1457"/>
    </row>
    <row r="610" spans="1:25" x14ac:dyDescent="0.2">
      <c r="A610" s="2296"/>
      <c r="B610" s="2296"/>
      <c r="C610" s="2296"/>
      <c r="D610" s="2296"/>
      <c r="E610" s="1456"/>
      <c r="R610" s="1457"/>
      <c r="S610" s="1457"/>
      <c r="T610" s="1457"/>
      <c r="U610" s="1457"/>
      <c r="V610" s="1457"/>
      <c r="W610" s="1457"/>
      <c r="X610" s="1457"/>
      <c r="Y610" s="1457"/>
    </row>
    <row r="611" spans="1:25" x14ac:dyDescent="0.2">
      <c r="A611" s="2296"/>
      <c r="B611" s="2296"/>
      <c r="C611" s="2296"/>
      <c r="D611" s="2296"/>
      <c r="E611" s="1456"/>
      <c r="R611" s="1457"/>
      <c r="S611" s="1457"/>
      <c r="T611" s="1457"/>
      <c r="U611" s="1457"/>
      <c r="V611" s="1457"/>
      <c r="W611" s="1457"/>
      <c r="X611" s="1457"/>
      <c r="Y611" s="1457"/>
    </row>
    <row r="612" spans="1:25" x14ac:dyDescent="0.2">
      <c r="A612" s="2296"/>
      <c r="B612" s="2296"/>
      <c r="C612" s="2296"/>
      <c r="D612" s="2296"/>
      <c r="E612" s="1456"/>
      <c r="R612" s="1457"/>
      <c r="S612" s="1457"/>
      <c r="T612" s="1457"/>
      <c r="U612" s="1457"/>
      <c r="V612" s="1457"/>
      <c r="W612" s="1457"/>
      <c r="X612" s="1457"/>
      <c r="Y612" s="1457"/>
    </row>
    <row r="613" spans="1:25" x14ac:dyDescent="0.2">
      <c r="A613" s="2296"/>
      <c r="B613" s="2296"/>
      <c r="C613" s="2296"/>
      <c r="D613" s="2296"/>
      <c r="E613" s="1456"/>
      <c r="R613" s="1457"/>
      <c r="S613" s="1457"/>
      <c r="T613" s="1457"/>
      <c r="U613" s="1457"/>
      <c r="V613" s="1457"/>
      <c r="W613" s="1457"/>
      <c r="X613" s="1457"/>
      <c r="Y613" s="1457"/>
    </row>
    <row r="614" spans="1:25" x14ac:dyDescent="0.2">
      <c r="A614" s="2296"/>
      <c r="B614" s="2296"/>
      <c r="C614" s="2296"/>
      <c r="D614" s="2296"/>
      <c r="E614" s="1456"/>
      <c r="R614" s="1457"/>
      <c r="S614" s="1457"/>
      <c r="T614" s="1457"/>
      <c r="U614" s="1457"/>
      <c r="V614" s="1457"/>
      <c r="W614" s="1457"/>
      <c r="X614" s="1457"/>
      <c r="Y614" s="1457"/>
    </row>
    <row r="615" spans="1:25" x14ac:dyDescent="0.2">
      <c r="A615" s="2296"/>
      <c r="B615" s="2296"/>
      <c r="C615" s="2296"/>
      <c r="D615" s="2296"/>
      <c r="E615" s="1456"/>
      <c r="R615" s="1457"/>
      <c r="S615" s="1457"/>
      <c r="T615" s="1457"/>
      <c r="U615" s="1457"/>
      <c r="V615" s="1457"/>
      <c r="W615" s="1457"/>
      <c r="X615" s="1457"/>
      <c r="Y615" s="1457"/>
    </row>
    <row r="616" spans="1:25" x14ac:dyDescent="0.2">
      <c r="A616" s="2296"/>
      <c r="B616" s="2296"/>
      <c r="C616" s="2296"/>
      <c r="D616" s="2296"/>
      <c r="E616" s="1456"/>
      <c r="R616" s="1457"/>
      <c r="S616" s="1457"/>
      <c r="T616" s="1457"/>
      <c r="U616" s="1457"/>
      <c r="V616" s="1457"/>
      <c r="W616" s="1457"/>
      <c r="X616" s="1457"/>
      <c r="Y616" s="1457"/>
    </row>
    <row r="617" spans="1:25" x14ac:dyDescent="0.2">
      <c r="A617" s="2296"/>
      <c r="B617" s="2296"/>
      <c r="C617" s="2296"/>
      <c r="D617" s="2296"/>
      <c r="E617" s="1456"/>
      <c r="R617" s="1457"/>
      <c r="S617" s="1457"/>
      <c r="T617" s="1457"/>
      <c r="U617" s="1457"/>
      <c r="V617" s="1457"/>
      <c r="W617" s="1457"/>
      <c r="X617" s="1457"/>
      <c r="Y617" s="1457"/>
    </row>
    <row r="618" spans="1:25" x14ac:dyDescent="0.2">
      <c r="A618" s="2296"/>
      <c r="B618" s="2296"/>
      <c r="C618" s="2296"/>
      <c r="D618" s="2296"/>
      <c r="E618" s="1456"/>
      <c r="R618" s="1457"/>
      <c r="S618" s="1457"/>
      <c r="T618" s="1457"/>
      <c r="U618" s="1457"/>
      <c r="V618" s="1457"/>
      <c r="W618" s="1457"/>
      <c r="X618" s="1457"/>
      <c r="Y618" s="1457"/>
    </row>
    <row r="619" spans="1:25" x14ac:dyDescent="0.2">
      <c r="A619" s="2296"/>
      <c r="B619" s="2296"/>
      <c r="C619" s="2296"/>
      <c r="D619" s="2296"/>
      <c r="E619" s="1456"/>
      <c r="R619" s="1457"/>
      <c r="S619" s="1457"/>
      <c r="T619" s="1457"/>
      <c r="U619" s="1457"/>
      <c r="V619" s="1457"/>
      <c r="W619" s="1457"/>
      <c r="X619" s="1457"/>
      <c r="Y619" s="1457"/>
    </row>
    <row r="620" spans="1:25" x14ac:dyDescent="0.2">
      <c r="A620" s="2296"/>
      <c r="B620" s="2296"/>
      <c r="C620" s="2296"/>
      <c r="D620" s="2296"/>
      <c r="E620" s="1456"/>
      <c r="R620" s="1457"/>
      <c r="S620" s="1457"/>
      <c r="T620" s="1457"/>
      <c r="U620" s="1457"/>
      <c r="V620" s="1457"/>
      <c r="W620" s="1457"/>
      <c r="X620" s="1457"/>
      <c r="Y620" s="1457"/>
    </row>
    <row r="621" spans="1:25" x14ac:dyDescent="0.2">
      <c r="A621" s="2296"/>
      <c r="B621" s="2296"/>
      <c r="C621" s="2296"/>
      <c r="D621" s="2296"/>
      <c r="E621" s="1456"/>
      <c r="R621" s="1457"/>
      <c r="S621" s="1457"/>
      <c r="T621" s="1457"/>
      <c r="U621" s="1457"/>
      <c r="V621" s="1457"/>
      <c r="W621" s="1457"/>
      <c r="X621" s="1457"/>
      <c r="Y621" s="1457"/>
    </row>
    <row r="622" spans="1:25" x14ac:dyDescent="0.2">
      <c r="A622" s="2296"/>
      <c r="B622" s="2296"/>
      <c r="C622" s="2296"/>
      <c r="D622" s="2296"/>
      <c r="E622" s="1456"/>
      <c r="R622" s="1457"/>
      <c r="S622" s="1457"/>
      <c r="T622" s="1457"/>
      <c r="U622" s="1457"/>
      <c r="V622" s="1457"/>
      <c r="W622" s="1457"/>
      <c r="X622" s="1457"/>
      <c r="Y622" s="1457"/>
    </row>
    <row r="623" spans="1:25" x14ac:dyDescent="0.2">
      <c r="A623" s="2296"/>
      <c r="B623" s="2296"/>
      <c r="C623" s="2296"/>
      <c r="D623" s="2296"/>
      <c r="E623" s="1456"/>
      <c r="R623" s="1457"/>
      <c r="S623" s="1457"/>
      <c r="T623" s="1457"/>
      <c r="U623" s="1457"/>
      <c r="V623" s="1457"/>
      <c r="W623" s="1457"/>
      <c r="X623" s="1457"/>
      <c r="Y623" s="1457"/>
    </row>
    <row r="624" spans="1:25" x14ac:dyDescent="0.2">
      <c r="A624" s="2296"/>
      <c r="B624" s="2296"/>
      <c r="C624" s="2296"/>
      <c r="D624" s="2296"/>
      <c r="E624" s="1456"/>
      <c r="R624" s="1457"/>
      <c r="S624" s="1457"/>
      <c r="T624" s="1457"/>
      <c r="U624" s="1457"/>
      <c r="V624" s="1457"/>
      <c r="W624" s="1457"/>
      <c r="X624" s="1457"/>
      <c r="Y624" s="1457"/>
    </row>
    <row r="625" spans="1:25" x14ac:dyDescent="0.2">
      <c r="A625" s="2296"/>
      <c r="B625" s="2296"/>
      <c r="C625" s="2296"/>
      <c r="D625" s="2296"/>
      <c r="E625" s="1456"/>
      <c r="R625" s="1457"/>
      <c r="S625" s="1457"/>
      <c r="T625" s="1457"/>
      <c r="U625" s="1457"/>
      <c r="V625" s="1457"/>
      <c r="W625" s="1457"/>
      <c r="X625" s="1457"/>
      <c r="Y625" s="1457"/>
    </row>
    <row r="626" spans="1:25" x14ac:dyDescent="0.2">
      <c r="A626" s="2296"/>
      <c r="B626" s="2296"/>
      <c r="C626" s="2296"/>
      <c r="D626" s="2296"/>
      <c r="E626" s="1456"/>
      <c r="R626" s="1457"/>
      <c r="S626" s="1457"/>
      <c r="T626" s="1457"/>
      <c r="U626" s="1457"/>
      <c r="V626" s="1457"/>
      <c r="W626" s="1457"/>
      <c r="X626" s="1457"/>
      <c r="Y626" s="1457"/>
    </row>
    <row r="627" spans="1:25" x14ac:dyDescent="0.2">
      <c r="A627" s="2296"/>
      <c r="B627" s="2296"/>
      <c r="C627" s="2296"/>
      <c r="D627" s="2296"/>
      <c r="E627" s="1456"/>
      <c r="R627" s="1457"/>
      <c r="S627" s="1457"/>
      <c r="T627" s="1457"/>
      <c r="U627" s="1457"/>
      <c r="V627" s="1457"/>
      <c r="W627" s="1457"/>
      <c r="X627" s="1457"/>
      <c r="Y627" s="1457"/>
    </row>
    <row r="628" spans="1:25" x14ac:dyDescent="0.2">
      <c r="A628" s="2296"/>
      <c r="B628" s="2296"/>
      <c r="C628" s="2296"/>
      <c r="D628" s="2296"/>
      <c r="E628" s="1456"/>
      <c r="R628" s="1457"/>
      <c r="S628" s="1457"/>
      <c r="T628" s="1457"/>
      <c r="U628" s="1457"/>
      <c r="V628" s="1457"/>
      <c r="W628" s="1457"/>
      <c r="X628" s="1457"/>
      <c r="Y628" s="1457"/>
    </row>
    <row r="629" spans="1:25" x14ac:dyDescent="0.2">
      <c r="A629" s="2296"/>
      <c r="B629" s="2296"/>
      <c r="C629" s="2296"/>
      <c r="D629" s="2296"/>
      <c r="E629" s="1456"/>
      <c r="R629" s="1457"/>
      <c r="S629" s="1457"/>
      <c r="T629" s="1457"/>
      <c r="U629" s="1457"/>
      <c r="V629" s="1457"/>
      <c r="W629" s="1457"/>
      <c r="X629" s="1457"/>
      <c r="Y629" s="1457"/>
    </row>
    <row r="630" spans="1:25" x14ac:dyDescent="0.2">
      <c r="A630" s="2296"/>
      <c r="B630" s="2296"/>
      <c r="C630" s="2296"/>
      <c r="D630" s="2296"/>
      <c r="E630" s="1456"/>
      <c r="R630" s="1457"/>
      <c r="S630" s="1457"/>
      <c r="T630" s="1457"/>
      <c r="U630" s="1457"/>
      <c r="V630" s="1457"/>
      <c r="W630" s="1457"/>
      <c r="X630" s="1457"/>
      <c r="Y630" s="1457"/>
    </row>
    <row r="631" spans="1:25" x14ac:dyDescent="0.2">
      <c r="A631" s="2296"/>
      <c r="B631" s="2296"/>
      <c r="C631" s="2296"/>
      <c r="D631" s="2296"/>
      <c r="E631" s="1456"/>
      <c r="R631" s="1457"/>
      <c r="S631" s="1457"/>
      <c r="T631" s="1457"/>
      <c r="U631" s="1457"/>
      <c r="V631" s="1457"/>
      <c r="W631" s="1457"/>
      <c r="X631" s="1457"/>
      <c r="Y631" s="1457"/>
    </row>
    <row r="632" spans="1:25" x14ac:dyDescent="0.2">
      <c r="A632" s="2296"/>
      <c r="B632" s="2296"/>
      <c r="C632" s="2296"/>
      <c r="D632" s="2296"/>
      <c r="E632" s="1456"/>
      <c r="R632" s="1457"/>
      <c r="S632" s="1457"/>
      <c r="T632" s="1457"/>
      <c r="U632" s="1457"/>
      <c r="V632" s="1457"/>
      <c r="W632" s="1457"/>
      <c r="X632" s="1457"/>
      <c r="Y632" s="1457"/>
    </row>
    <row r="633" spans="1:25" x14ac:dyDescent="0.2">
      <c r="A633" s="2296"/>
      <c r="B633" s="2296"/>
      <c r="C633" s="2296"/>
      <c r="D633" s="2296"/>
      <c r="E633" s="1456"/>
      <c r="R633" s="1457"/>
      <c r="S633" s="1457"/>
      <c r="T633" s="1457"/>
      <c r="U633" s="1457"/>
      <c r="V633" s="1457"/>
      <c r="W633" s="1457"/>
      <c r="X633" s="1457"/>
      <c r="Y633" s="1457"/>
    </row>
    <row r="634" spans="1:25" x14ac:dyDescent="0.2">
      <c r="A634" s="2296"/>
      <c r="B634" s="2296"/>
      <c r="C634" s="2296"/>
      <c r="D634" s="2296"/>
      <c r="E634" s="1456"/>
      <c r="R634" s="1457"/>
      <c r="S634" s="1457"/>
      <c r="T634" s="1457"/>
      <c r="U634" s="1457"/>
      <c r="V634" s="1457"/>
      <c r="W634" s="1457"/>
      <c r="X634" s="1457"/>
      <c r="Y634" s="1457"/>
    </row>
    <row r="635" spans="1:25" x14ac:dyDescent="0.2">
      <c r="A635" s="2296"/>
      <c r="B635" s="2296"/>
      <c r="C635" s="2296"/>
      <c r="D635" s="2296"/>
      <c r="E635" s="1456"/>
      <c r="R635" s="1457"/>
      <c r="S635" s="1457"/>
      <c r="T635" s="1457"/>
      <c r="U635" s="1457"/>
      <c r="V635" s="1457"/>
      <c r="W635" s="1457"/>
      <c r="X635" s="1457"/>
      <c r="Y635" s="1457"/>
    </row>
    <row r="636" spans="1:25" x14ac:dyDescent="0.2">
      <c r="A636" s="2296"/>
      <c r="B636" s="2296"/>
      <c r="C636" s="2296"/>
      <c r="D636" s="2296"/>
      <c r="E636" s="1456"/>
      <c r="R636" s="1457"/>
      <c r="S636" s="1457"/>
      <c r="T636" s="1457"/>
      <c r="U636" s="1457"/>
      <c r="V636" s="1457"/>
      <c r="W636" s="1457"/>
      <c r="X636" s="1457"/>
      <c r="Y636" s="1457"/>
    </row>
    <row r="637" spans="1:25" x14ac:dyDescent="0.2">
      <c r="A637" s="2296"/>
      <c r="B637" s="2296"/>
      <c r="C637" s="2296"/>
      <c r="D637" s="2296"/>
      <c r="E637" s="1456"/>
      <c r="R637" s="1457"/>
      <c r="S637" s="1457"/>
      <c r="T637" s="1457"/>
      <c r="U637" s="1457"/>
      <c r="V637" s="1457"/>
      <c r="W637" s="1457"/>
      <c r="X637" s="1457"/>
      <c r="Y637" s="1457"/>
    </row>
    <row r="638" spans="1:25" x14ac:dyDescent="0.2">
      <c r="A638" s="2296"/>
      <c r="B638" s="2296"/>
      <c r="C638" s="2296"/>
      <c r="D638" s="2296"/>
      <c r="E638" s="1456"/>
      <c r="R638" s="1457"/>
      <c r="S638" s="1457"/>
      <c r="T638" s="1457"/>
      <c r="U638" s="1457"/>
      <c r="V638" s="1457"/>
      <c r="W638" s="1457"/>
      <c r="X638" s="1457"/>
      <c r="Y638" s="1457"/>
    </row>
    <row r="639" spans="1:25" x14ac:dyDescent="0.2">
      <c r="A639" s="2296"/>
      <c r="B639" s="2296"/>
      <c r="C639" s="2296"/>
      <c r="D639" s="2296"/>
      <c r="E639" s="1456"/>
      <c r="R639" s="1457"/>
      <c r="S639" s="1457"/>
      <c r="T639" s="1457"/>
      <c r="U639" s="1457"/>
      <c r="V639" s="1457"/>
      <c r="W639" s="1457"/>
      <c r="X639" s="1457"/>
      <c r="Y639" s="1457"/>
    </row>
    <row r="640" spans="1:25" x14ac:dyDescent="0.2">
      <c r="A640" s="2296"/>
      <c r="B640" s="2296"/>
      <c r="C640" s="2296"/>
      <c r="D640" s="2296"/>
      <c r="E640" s="1456"/>
      <c r="R640" s="1457"/>
      <c r="S640" s="1457"/>
      <c r="T640" s="1457"/>
      <c r="U640" s="1457"/>
      <c r="V640" s="1457"/>
      <c r="W640" s="1457"/>
      <c r="X640" s="1457"/>
      <c r="Y640" s="1457"/>
    </row>
    <row r="641" spans="1:25" x14ac:dyDescent="0.2">
      <c r="A641" s="2296"/>
      <c r="B641" s="2296"/>
      <c r="C641" s="2296"/>
      <c r="D641" s="2296"/>
      <c r="E641" s="1456"/>
      <c r="R641" s="1457"/>
      <c r="S641" s="1457"/>
      <c r="T641" s="1457"/>
      <c r="U641" s="1457"/>
      <c r="V641" s="1457"/>
      <c r="W641" s="1457"/>
      <c r="X641" s="1457"/>
      <c r="Y641" s="1457"/>
    </row>
    <row r="642" spans="1:25" x14ac:dyDescent="0.2">
      <c r="A642" s="2296"/>
      <c r="B642" s="2296"/>
      <c r="C642" s="2296"/>
      <c r="D642" s="2296"/>
      <c r="E642" s="1456"/>
      <c r="R642" s="1457"/>
      <c r="S642" s="1457"/>
      <c r="T642" s="1457"/>
      <c r="U642" s="1457"/>
      <c r="V642" s="1457"/>
      <c r="W642" s="1457"/>
      <c r="X642" s="1457"/>
      <c r="Y642" s="1457"/>
    </row>
    <row r="643" spans="1:25" x14ac:dyDescent="0.2">
      <c r="A643" s="2296"/>
      <c r="B643" s="2296"/>
      <c r="C643" s="2296"/>
      <c r="D643" s="2296"/>
      <c r="E643" s="1456"/>
      <c r="R643" s="1457"/>
      <c r="S643" s="1457"/>
      <c r="T643" s="1457"/>
      <c r="U643" s="1457"/>
      <c r="V643" s="1457"/>
      <c r="W643" s="1457"/>
      <c r="X643" s="1457"/>
      <c r="Y643" s="1457"/>
    </row>
    <row r="644" spans="1:25" x14ac:dyDescent="0.2">
      <c r="A644" s="2296"/>
      <c r="B644" s="2296"/>
      <c r="C644" s="2296"/>
      <c r="D644" s="2296"/>
      <c r="E644" s="1456"/>
      <c r="R644" s="1457"/>
      <c r="S644" s="1457"/>
      <c r="T644" s="1457"/>
      <c r="U644" s="1457"/>
      <c r="V644" s="1457"/>
      <c r="W644" s="1457"/>
      <c r="X644" s="1457"/>
      <c r="Y644" s="1457"/>
    </row>
    <row r="645" spans="1:25" x14ac:dyDescent="0.2">
      <c r="A645" s="2296"/>
      <c r="B645" s="2296"/>
      <c r="C645" s="2296"/>
      <c r="D645" s="2296"/>
      <c r="E645" s="1456"/>
      <c r="R645" s="1457"/>
      <c r="S645" s="1457"/>
      <c r="T645" s="1457"/>
      <c r="U645" s="1457"/>
      <c r="V645" s="1457"/>
      <c r="W645" s="1457"/>
      <c r="X645" s="1457"/>
      <c r="Y645" s="1457"/>
    </row>
    <row r="646" spans="1:25" x14ac:dyDescent="0.2">
      <c r="A646" s="2296"/>
      <c r="B646" s="2296"/>
      <c r="C646" s="2296"/>
      <c r="D646" s="2296"/>
      <c r="E646" s="1456"/>
      <c r="R646" s="1457"/>
      <c r="S646" s="1457"/>
      <c r="T646" s="1457"/>
      <c r="U646" s="1457"/>
      <c r="V646" s="1457"/>
      <c r="W646" s="1457"/>
      <c r="X646" s="1457"/>
      <c r="Y646" s="1457"/>
    </row>
    <row r="647" spans="1:25" x14ac:dyDescent="0.2">
      <c r="A647" s="2296"/>
      <c r="B647" s="2296"/>
      <c r="C647" s="2296"/>
      <c r="D647" s="2296"/>
      <c r="E647" s="1456"/>
      <c r="R647" s="1457"/>
      <c r="S647" s="1457"/>
      <c r="T647" s="1457"/>
      <c r="U647" s="1457"/>
      <c r="V647" s="1457"/>
      <c r="W647" s="1457"/>
      <c r="X647" s="1457"/>
      <c r="Y647" s="1457"/>
    </row>
    <row r="648" spans="1:25" x14ac:dyDescent="0.2">
      <c r="A648" s="2296"/>
      <c r="B648" s="2296"/>
      <c r="C648" s="2296"/>
      <c r="D648" s="2296"/>
      <c r="E648" s="1456"/>
      <c r="R648" s="1457"/>
      <c r="S648" s="1457"/>
      <c r="T648" s="1457"/>
      <c r="U648" s="1457"/>
      <c r="V648" s="1457"/>
      <c r="W648" s="1457"/>
      <c r="X648" s="1457"/>
      <c r="Y648" s="1457"/>
    </row>
    <row r="649" spans="1:25" x14ac:dyDescent="0.2">
      <c r="A649" s="2296"/>
      <c r="B649" s="2296"/>
      <c r="C649" s="2296"/>
      <c r="D649" s="2296"/>
      <c r="E649" s="1456"/>
      <c r="R649" s="1457"/>
      <c r="S649" s="1457"/>
      <c r="T649" s="1457"/>
      <c r="U649" s="1457"/>
      <c r="V649" s="1457"/>
      <c r="W649" s="1457"/>
      <c r="X649" s="1457"/>
      <c r="Y649" s="1457"/>
    </row>
    <row r="650" spans="1:25" x14ac:dyDescent="0.2">
      <c r="A650" s="2296"/>
      <c r="B650" s="2296"/>
      <c r="C650" s="2296"/>
      <c r="D650" s="2296"/>
      <c r="E650" s="1456"/>
      <c r="R650" s="1457"/>
      <c r="S650" s="1457"/>
      <c r="T650" s="1457"/>
      <c r="U650" s="1457"/>
      <c r="V650" s="1457"/>
      <c r="W650" s="1457"/>
      <c r="X650" s="1457"/>
      <c r="Y650" s="1457"/>
    </row>
    <row r="651" spans="1:25" x14ac:dyDescent="0.2">
      <c r="A651" s="2296"/>
      <c r="B651" s="2296"/>
      <c r="C651" s="2296"/>
      <c r="D651" s="2296"/>
      <c r="E651" s="1456"/>
      <c r="R651" s="1457"/>
      <c r="S651" s="1457"/>
      <c r="T651" s="1457"/>
      <c r="U651" s="1457"/>
      <c r="V651" s="1457"/>
      <c r="W651" s="1457"/>
      <c r="X651" s="1457"/>
      <c r="Y651" s="1457"/>
    </row>
    <row r="652" spans="1:25" x14ac:dyDescent="0.2">
      <c r="A652" s="2296"/>
      <c r="B652" s="2296"/>
      <c r="C652" s="2296"/>
      <c r="D652" s="2296"/>
      <c r="E652" s="1456"/>
      <c r="R652" s="1457"/>
      <c r="S652" s="1457"/>
      <c r="T652" s="1457"/>
      <c r="U652" s="1457"/>
      <c r="V652" s="1457"/>
      <c r="W652" s="1457"/>
      <c r="X652" s="1457"/>
      <c r="Y652" s="1457"/>
    </row>
    <row r="653" spans="1:25" x14ac:dyDescent="0.2">
      <c r="A653" s="2296"/>
      <c r="B653" s="2296"/>
      <c r="C653" s="2296"/>
      <c r="D653" s="2296"/>
      <c r="E653" s="1456"/>
      <c r="R653" s="1457"/>
      <c r="S653" s="1457"/>
      <c r="T653" s="1457"/>
      <c r="U653" s="1457"/>
      <c r="V653" s="1457"/>
      <c r="W653" s="1457"/>
      <c r="X653" s="1457"/>
      <c r="Y653" s="1457"/>
    </row>
    <row r="654" spans="1:25" x14ac:dyDescent="0.2">
      <c r="A654" s="2296"/>
      <c r="B654" s="2296"/>
      <c r="C654" s="2296"/>
      <c r="D654" s="2296"/>
      <c r="E654" s="1456"/>
      <c r="R654" s="1457"/>
      <c r="S654" s="1457"/>
      <c r="T654" s="1457"/>
      <c r="U654" s="1457"/>
      <c r="V654" s="1457"/>
      <c r="W654" s="1457"/>
      <c r="X654" s="1457"/>
      <c r="Y654" s="1457"/>
    </row>
    <row r="655" spans="1:25" x14ac:dyDescent="0.2">
      <c r="A655" s="2296"/>
      <c r="B655" s="2296"/>
      <c r="C655" s="2296"/>
      <c r="D655" s="2296"/>
      <c r="E655" s="1456"/>
      <c r="R655" s="1457"/>
      <c r="S655" s="1457"/>
      <c r="T655" s="1457"/>
      <c r="U655" s="1457"/>
      <c r="V655" s="1457"/>
      <c r="W655" s="1457"/>
      <c r="X655" s="1457"/>
      <c r="Y655" s="1457"/>
    </row>
    <row r="656" spans="1:25" x14ac:dyDescent="0.2">
      <c r="A656" s="2296"/>
      <c r="B656" s="2296"/>
      <c r="C656" s="2296"/>
      <c r="D656" s="2296"/>
      <c r="E656" s="1456"/>
      <c r="R656" s="1457"/>
      <c r="S656" s="1457"/>
      <c r="T656" s="1457"/>
      <c r="U656" s="1457"/>
      <c r="V656" s="1457"/>
      <c r="W656" s="1457"/>
      <c r="X656" s="1457"/>
      <c r="Y656" s="1457"/>
    </row>
    <row r="657" spans="1:25" x14ac:dyDescent="0.2">
      <c r="A657" s="2296"/>
      <c r="B657" s="2296"/>
      <c r="C657" s="2296"/>
      <c r="D657" s="2296"/>
      <c r="E657" s="1456"/>
      <c r="R657" s="1457"/>
      <c r="S657" s="1457"/>
      <c r="T657" s="1457"/>
      <c r="U657" s="1457"/>
      <c r="V657" s="1457"/>
      <c r="W657" s="1457"/>
      <c r="X657" s="1457"/>
      <c r="Y657" s="1457"/>
    </row>
    <row r="658" spans="1:25" x14ac:dyDescent="0.2">
      <c r="A658" s="2296"/>
      <c r="B658" s="2296"/>
      <c r="C658" s="2296"/>
      <c r="D658" s="2296"/>
      <c r="E658" s="1456"/>
      <c r="R658" s="1457"/>
      <c r="S658" s="1457"/>
      <c r="T658" s="1457"/>
      <c r="U658" s="1457"/>
      <c r="V658" s="1457"/>
      <c r="W658" s="1457"/>
      <c r="X658" s="1457"/>
      <c r="Y658" s="1457"/>
    </row>
    <row r="659" spans="1:25" x14ac:dyDescent="0.2">
      <c r="A659" s="2296"/>
      <c r="B659" s="2296"/>
      <c r="C659" s="2296"/>
      <c r="D659" s="2296"/>
      <c r="E659" s="1456"/>
      <c r="R659" s="1457"/>
      <c r="S659" s="1457"/>
      <c r="T659" s="1457"/>
      <c r="U659" s="1457"/>
      <c r="V659" s="1457"/>
      <c r="W659" s="1457"/>
      <c r="X659" s="1457"/>
      <c r="Y659" s="1457"/>
    </row>
    <row r="660" spans="1:25" x14ac:dyDescent="0.2">
      <c r="A660" s="2296"/>
      <c r="B660" s="2296"/>
      <c r="C660" s="2296"/>
      <c r="D660" s="2296"/>
      <c r="E660" s="1456"/>
      <c r="R660" s="1457"/>
      <c r="S660" s="1457"/>
      <c r="T660" s="1457"/>
      <c r="U660" s="1457"/>
      <c r="V660" s="1457"/>
      <c r="W660" s="1457"/>
      <c r="X660" s="1457"/>
      <c r="Y660" s="1457"/>
    </row>
    <row r="661" spans="1:25" x14ac:dyDescent="0.2">
      <c r="A661" s="2296"/>
      <c r="B661" s="2296"/>
      <c r="C661" s="2296"/>
      <c r="D661" s="2296"/>
      <c r="E661" s="1456"/>
      <c r="R661" s="1457"/>
      <c r="S661" s="1457"/>
      <c r="T661" s="1457"/>
      <c r="U661" s="1457"/>
      <c r="V661" s="1457"/>
      <c r="W661" s="1457"/>
      <c r="X661" s="1457"/>
      <c r="Y661" s="1457"/>
    </row>
    <row r="662" spans="1:25" x14ac:dyDescent="0.2">
      <c r="A662" s="2296"/>
      <c r="B662" s="2296"/>
      <c r="C662" s="2296"/>
      <c r="D662" s="2296"/>
      <c r="E662" s="1456"/>
      <c r="R662" s="1457"/>
      <c r="S662" s="1457"/>
      <c r="T662" s="1457"/>
      <c r="U662" s="1457"/>
      <c r="V662" s="1457"/>
      <c r="W662" s="1457"/>
      <c r="X662" s="1457"/>
      <c r="Y662" s="1457"/>
    </row>
    <row r="663" spans="1:25" x14ac:dyDescent="0.2">
      <c r="A663" s="2296"/>
      <c r="B663" s="2296"/>
      <c r="C663" s="2296"/>
      <c r="D663" s="2296"/>
      <c r="E663" s="1456"/>
      <c r="R663" s="1457"/>
      <c r="S663" s="1457"/>
      <c r="T663" s="1457"/>
      <c r="U663" s="1457"/>
      <c r="V663" s="1457"/>
      <c r="W663" s="1457"/>
      <c r="X663" s="1457"/>
      <c r="Y663" s="1457"/>
    </row>
    <row r="664" spans="1:25" x14ac:dyDescent="0.2">
      <c r="A664" s="2296"/>
      <c r="B664" s="2296"/>
      <c r="C664" s="2296"/>
      <c r="D664" s="2296"/>
      <c r="E664" s="1456"/>
      <c r="R664" s="1457"/>
      <c r="S664" s="1457"/>
      <c r="T664" s="1457"/>
      <c r="U664" s="1457"/>
      <c r="V664" s="1457"/>
      <c r="W664" s="1457"/>
      <c r="X664" s="1457"/>
      <c r="Y664" s="1457"/>
    </row>
    <row r="665" spans="1:25" x14ac:dyDescent="0.2">
      <c r="A665" s="2296"/>
      <c r="B665" s="2296"/>
      <c r="C665" s="2296"/>
      <c r="D665" s="2296"/>
      <c r="E665" s="1456"/>
      <c r="R665" s="1457"/>
      <c r="S665" s="1457"/>
      <c r="T665" s="1457"/>
      <c r="U665" s="1457"/>
      <c r="V665" s="1457"/>
      <c r="W665" s="1457"/>
      <c r="X665" s="1457"/>
      <c r="Y665" s="1457"/>
    </row>
    <row r="666" spans="1:25" x14ac:dyDescent="0.2">
      <c r="A666" s="2296"/>
      <c r="B666" s="2296"/>
      <c r="C666" s="2296"/>
      <c r="D666" s="2296"/>
      <c r="E666" s="1456"/>
      <c r="R666" s="1457"/>
      <c r="S666" s="1457"/>
      <c r="T666" s="1457"/>
      <c r="U666" s="1457"/>
      <c r="V666" s="1457"/>
      <c r="W666" s="1457"/>
      <c r="X666" s="1457"/>
      <c r="Y666" s="1457"/>
    </row>
    <row r="667" spans="1:25" x14ac:dyDescent="0.2">
      <c r="A667" s="2296"/>
      <c r="B667" s="2296"/>
      <c r="C667" s="2296"/>
      <c r="D667" s="2296"/>
      <c r="E667" s="1456"/>
      <c r="R667" s="1457"/>
      <c r="S667" s="1457"/>
      <c r="T667" s="1457"/>
      <c r="U667" s="1457"/>
      <c r="V667" s="1457"/>
      <c r="W667" s="1457"/>
      <c r="X667" s="1457"/>
      <c r="Y667" s="1457"/>
    </row>
    <row r="668" spans="1:25" x14ac:dyDescent="0.2">
      <c r="A668" s="2296"/>
      <c r="B668" s="2296"/>
      <c r="C668" s="2296"/>
      <c r="D668" s="2296"/>
      <c r="E668" s="1456"/>
      <c r="R668" s="1457"/>
      <c r="S668" s="1457"/>
      <c r="T668" s="1457"/>
      <c r="U668" s="1457"/>
      <c r="V668" s="1457"/>
      <c r="W668" s="1457"/>
      <c r="X668" s="1457"/>
      <c r="Y668" s="1457"/>
    </row>
    <row r="669" spans="1:25" x14ac:dyDescent="0.2">
      <c r="A669" s="2296"/>
      <c r="B669" s="2296"/>
      <c r="C669" s="2296"/>
      <c r="D669" s="2296"/>
      <c r="E669" s="1456"/>
      <c r="R669" s="1457"/>
      <c r="S669" s="1457"/>
      <c r="T669" s="1457"/>
      <c r="U669" s="1457"/>
      <c r="V669" s="1457"/>
      <c r="W669" s="1457"/>
      <c r="X669" s="1457"/>
      <c r="Y669" s="1457"/>
    </row>
    <row r="670" spans="1:25" x14ac:dyDescent="0.2">
      <c r="A670" s="2296"/>
      <c r="B670" s="2296"/>
      <c r="C670" s="2296"/>
      <c r="D670" s="2296"/>
      <c r="E670" s="1456"/>
      <c r="R670" s="1457"/>
      <c r="S670" s="1457"/>
      <c r="T670" s="1457"/>
      <c r="U670" s="1457"/>
      <c r="V670" s="1457"/>
      <c r="W670" s="1457"/>
      <c r="X670" s="1457"/>
      <c r="Y670" s="1457"/>
    </row>
    <row r="671" spans="1:25" x14ac:dyDescent="0.2">
      <c r="A671" s="2296"/>
      <c r="B671" s="2296"/>
      <c r="C671" s="2296"/>
      <c r="D671" s="2296"/>
      <c r="E671" s="1456"/>
      <c r="R671" s="1457"/>
      <c r="S671" s="1457"/>
      <c r="T671" s="1457"/>
      <c r="U671" s="1457"/>
      <c r="V671" s="1457"/>
      <c r="W671" s="1457"/>
      <c r="X671" s="1457"/>
      <c r="Y671" s="1457"/>
    </row>
    <row r="672" spans="1:25" x14ac:dyDescent="0.2">
      <c r="A672" s="2296"/>
      <c r="B672" s="2296"/>
      <c r="C672" s="2296"/>
      <c r="D672" s="2296"/>
      <c r="E672" s="1456"/>
      <c r="R672" s="1457"/>
      <c r="S672" s="1457"/>
      <c r="T672" s="1457"/>
      <c r="U672" s="1457"/>
      <c r="V672" s="1457"/>
      <c r="W672" s="1457"/>
      <c r="X672" s="1457"/>
      <c r="Y672" s="1457"/>
    </row>
    <row r="673" spans="1:25" x14ac:dyDescent="0.2">
      <c r="A673" s="2296"/>
      <c r="B673" s="2296"/>
      <c r="C673" s="2296"/>
      <c r="D673" s="2296"/>
      <c r="E673" s="1456"/>
      <c r="R673" s="1457"/>
      <c r="S673" s="1457"/>
      <c r="T673" s="1457"/>
      <c r="U673" s="1457"/>
      <c r="V673" s="1457"/>
      <c r="W673" s="1457"/>
      <c r="X673" s="1457"/>
      <c r="Y673" s="1457"/>
    </row>
    <row r="674" spans="1:25" x14ac:dyDescent="0.2">
      <c r="A674" s="2296"/>
      <c r="B674" s="2296"/>
      <c r="C674" s="2296"/>
      <c r="D674" s="2296"/>
      <c r="E674" s="1456"/>
      <c r="R674" s="1457"/>
      <c r="S674" s="1457"/>
      <c r="T674" s="1457"/>
      <c r="U674" s="1457"/>
      <c r="V674" s="1457"/>
      <c r="W674" s="1457"/>
      <c r="X674" s="1457"/>
      <c r="Y674" s="1457"/>
    </row>
    <row r="675" spans="1:25" x14ac:dyDescent="0.2">
      <c r="A675" s="2296"/>
      <c r="B675" s="2296"/>
      <c r="C675" s="2296"/>
      <c r="D675" s="2296"/>
      <c r="E675" s="1456"/>
      <c r="R675" s="1457"/>
      <c r="S675" s="1457"/>
      <c r="T675" s="1457"/>
      <c r="U675" s="1457"/>
      <c r="V675" s="1457"/>
      <c r="W675" s="1457"/>
      <c r="X675" s="1457"/>
      <c r="Y675" s="1457"/>
    </row>
    <row r="676" spans="1:25" x14ac:dyDescent="0.2">
      <c r="A676" s="2296"/>
      <c r="B676" s="2296"/>
      <c r="C676" s="2296"/>
      <c r="D676" s="2296"/>
      <c r="E676" s="1456"/>
      <c r="R676" s="1457"/>
      <c r="S676" s="1457"/>
      <c r="T676" s="1457"/>
      <c r="U676" s="1457"/>
      <c r="V676" s="1457"/>
      <c r="W676" s="1457"/>
      <c r="X676" s="1457"/>
      <c r="Y676" s="1457"/>
    </row>
    <row r="677" spans="1:25" x14ac:dyDescent="0.2">
      <c r="A677" s="2296"/>
      <c r="B677" s="2296"/>
      <c r="C677" s="2296"/>
      <c r="D677" s="2296"/>
      <c r="E677" s="1456"/>
      <c r="R677" s="1457"/>
      <c r="S677" s="1457"/>
      <c r="T677" s="1457"/>
      <c r="U677" s="1457"/>
      <c r="V677" s="1457"/>
      <c r="W677" s="1457"/>
      <c r="X677" s="1457"/>
      <c r="Y677" s="1457"/>
    </row>
    <row r="678" spans="1:25" x14ac:dyDescent="0.2">
      <c r="A678" s="2296"/>
      <c r="B678" s="2296"/>
      <c r="C678" s="2296"/>
      <c r="D678" s="2296"/>
      <c r="E678" s="1456"/>
      <c r="R678" s="1457"/>
      <c r="S678" s="1457"/>
      <c r="T678" s="1457"/>
      <c r="U678" s="1457"/>
      <c r="V678" s="1457"/>
      <c r="W678" s="1457"/>
      <c r="X678" s="1457"/>
      <c r="Y678" s="1457"/>
    </row>
    <row r="679" spans="1:25" x14ac:dyDescent="0.2">
      <c r="A679" s="2296"/>
      <c r="B679" s="2296"/>
      <c r="C679" s="2296"/>
      <c r="D679" s="2296"/>
      <c r="E679" s="1456"/>
      <c r="R679" s="1457"/>
      <c r="S679" s="1457"/>
      <c r="T679" s="1457"/>
      <c r="U679" s="1457"/>
      <c r="V679" s="1457"/>
      <c r="W679" s="1457"/>
      <c r="X679" s="1457"/>
      <c r="Y679" s="1457"/>
    </row>
    <row r="680" spans="1:25" x14ac:dyDescent="0.2">
      <c r="A680" s="2296"/>
      <c r="B680" s="2296"/>
      <c r="C680" s="2296"/>
      <c r="D680" s="2296"/>
      <c r="E680" s="1456"/>
      <c r="R680" s="1457"/>
      <c r="S680" s="1457"/>
      <c r="T680" s="1457"/>
      <c r="U680" s="1457"/>
      <c r="V680" s="1457"/>
      <c r="W680" s="1457"/>
      <c r="X680" s="1457"/>
      <c r="Y680" s="1457"/>
    </row>
    <row r="681" spans="1:25" x14ac:dyDescent="0.2">
      <c r="A681" s="2296"/>
      <c r="B681" s="2296"/>
      <c r="C681" s="2296"/>
      <c r="D681" s="2296"/>
      <c r="E681" s="1456"/>
      <c r="R681" s="1457"/>
      <c r="S681" s="1457"/>
      <c r="T681" s="1457"/>
      <c r="U681" s="1457"/>
      <c r="V681" s="1457"/>
      <c r="W681" s="1457"/>
      <c r="X681" s="1457"/>
      <c r="Y681" s="1457"/>
    </row>
    <row r="682" spans="1:25" x14ac:dyDescent="0.2">
      <c r="A682" s="2296"/>
      <c r="B682" s="2296"/>
      <c r="C682" s="2296"/>
      <c r="D682" s="2296"/>
      <c r="E682" s="1456"/>
      <c r="R682" s="1457"/>
      <c r="S682" s="1457"/>
      <c r="T682" s="1457"/>
      <c r="U682" s="1457"/>
      <c r="V682" s="1457"/>
      <c r="W682" s="1457"/>
      <c r="X682" s="1457"/>
      <c r="Y682" s="1457"/>
    </row>
    <row r="683" spans="1:25" x14ac:dyDescent="0.2">
      <c r="A683" s="2296"/>
      <c r="B683" s="2296"/>
      <c r="C683" s="2296"/>
      <c r="D683" s="2296"/>
      <c r="E683" s="1456"/>
      <c r="R683" s="1457"/>
      <c r="S683" s="1457"/>
      <c r="T683" s="1457"/>
      <c r="U683" s="1457"/>
      <c r="V683" s="1457"/>
      <c r="W683" s="1457"/>
      <c r="X683" s="1457"/>
      <c r="Y683" s="1457"/>
    </row>
    <row r="684" spans="1:25" x14ac:dyDescent="0.2">
      <c r="A684" s="2296"/>
      <c r="B684" s="2296"/>
      <c r="C684" s="2296"/>
      <c r="D684" s="2296"/>
      <c r="E684" s="1456"/>
      <c r="R684" s="1457"/>
      <c r="S684" s="1457"/>
      <c r="T684" s="1457"/>
      <c r="U684" s="1457"/>
      <c r="V684" s="1457"/>
      <c r="W684" s="1457"/>
      <c r="X684" s="1457"/>
      <c r="Y684" s="1457"/>
    </row>
    <row r="685" spans="1:25" x14ac:dyDescent="0.2">
      <c r="A685" s="2296"/>
      <c r="B685" s="2296"/>
      <c r="C685" s="2296"/>
      <c r="D685" s="2296"/>
      <c r="E685" s="1456"/>
      <c r="R685" s="1457"/>
      <c r="S685" s="1457"/>
      <c r="T685" s="1457"/>
      <c r="U685" s="1457"/>
      <c r="V685" s="1457"/>
      <c r="W685" s="1457"/>
      <c r="X685" s="1457"/>
      <c r="Y685" s="1457"/>
    </row>
    <row r="686" spans="1:25" x14ac:dyDescent="0.2">
      <c r="A686" s="2296"/>
      <c r="B686" s="2296"/>
      <c r="C686" s="2296"/>
      <c r="D686" s="2296"/>
      <c r="E686" s="1456"/>
      <c r="R686" s="1457"/>
      <c r="S686" s="1457"/>
      <c r="T686" s="1457"/>
      <c r="U686" s="1457"/>
      <c r="V686" s="1457"/>
      <c r="W686" s="1457"/>
      <c r="X686" s="1457"/>
      <c r="Y686" s="1457"/>
    </row>
    <row r="687" spans="1:25" x14ac:dyDescent="0.2">
      <c r="A687" s="2296"/>
      <c r="B687" s="2296"/>
      <c r="C687" s="2296"/>
      <c r="D687" s="2296"/>
      <c r="E687" s="1456"/>
      <c r="R687" s="1457"/>
      <c r="S687" s="1457"/>
      <c r="T687" s="1457"/>
      <c r="U687" s="1457"/>
      <c r="V687" s="1457"/>
      <c r="W687" s="1457"/>
      <c r="X687" s="1457"/>
      <c r="Y687" s="1457"/>
    </row>
    <row r="688" spans="1:25" x14ac:dyDescent="0.2">
      <c r="A688" s="2296"/>
      <c r="B688" s="2296"/>
      <c r="C688" s="2296"/>
      <c r="D688" s="2296"/>
      <c r="E688" s="1456"/>
      <c r="R688" s="1457"/>
      <c r="S688" s="1457"/>
      <c r="T688" s="1457"/>
      <c r="U688" s="1457"/>
      <c r="V688" s="1457"/>
      <c r="W688" s="1457"/>
      <c r="X688" s="1457"/>
      <c r="Y688" s="1457"/>
    </row>
    <row r="689" spans="1:25" x14ac:dyDescent="0.2">
      <c r="A689" s="2296"/>
      <c r="B689" s="2296"/>
      <c r="C689" s="2296"/>
      <c r="D689" s="2296"/>
      <c r="E689" s="1456"/>
      <c r="R689" s="1457"/>
      <c r="S689" s="1457"/>
      <c r="T689" s="1457"/>
      <c r="U689" s="1457"/>
      <c r="V689" s="1457"/>
      <c r="W689" s="1457"/>
      <c r="X689" s="1457"/>
      <c r="Y689" s="1457"/>
    </row>
    <row r="690" spans="1:25" x14ac:dyDescent="0.2">
      <c r="A690" s="2296"/>
      <c r="B690" s="2296"/>
      <c r="C690" s="2296"/>
      <c r="D690" s="2296"/>
      <c r="E690" s="1456"/>
      <c r="R690" s="1457"/>
      <c r="S690" s="1457"/>
      <c r="T690" s="1457"/>
      <c r="U690" s="1457"/>
      <c r="V690" s="1457"/>
      <c r="W690" s="1457"/>
      <c r="X690" s="1457"/>
      <c r="Y690" s="1457"/>
    </row>
    <row r="691" spans="1:25" x14ac:dyDescent="0.2">
      <c r="A691" s="2296"/>
      <c r="B691" s="2296"/>
      <c r="C691" s="2296"/>
      <c r="D691" s="2296"/>
      <c r="E691" s="1456"/>
      <c r="R691" s="1457"/>
      <c r="S691" s="1457"/>
      <c r="T691" s="1457"/>
      <c r="U691" s="1457"/>
      <c r="V691" s="1457"/>
      <c r="W691" s="1457"/>
      <c r="X691" s="1457"/>
      <c r="Y691" s="1457"/>
    </row>
    <row r="692" spans="1:25" x14ac:dyDescent="0.2">
      <c r="A692" s="2296"/>
      <c r="B692" s="2296"/>
      <c r="C692" s="2296"/>
      <c r="D692" s="2296"/>
      <c r="E692" s="1456"/>
      <c r="R692" s="1457"/>
      <c r="S692" s="1457"/>
      <c r="T692" s="1457"/>
      <c r="U692" s="1457"/>
      <c r="V692" s="1457"/>
      <c r="W692" s="1457"/>
      <c r="X692" s="1457"/>
      <c r="Y692" s="1457"/>
    </row>
    <row r="693" spans="1:25" x14ac:dyDescent="0.2">
      <c r="A693" s="2296"/>
      <c r="B693" s="2296"/>
      <c r="C693" s="2296"/>
      <c r="D693" s="2296"/>
      <c r="E693" s="1456"/>
      <c r="R693" s="1457"/>
      <c r="S693" s="1457"/>
      <c r="T693" s="1457"/>
      <c r="U693" s="1457"/>
      <c r="V693" s="1457"/>
      <c r="W693" s="1457"/>
      <c r="X693" s="1457"/>
      <c r="Y693" s="1457"/>
    </row>
    <row r="694" spans="1:25" x14ac:dyDescent="0.2">
      <c r="A694" s="2296"/>
      <c r="B694" s="2296"/>
      <c r="C694" s="2296"/>
      <c r="D694" s="2296"/>
      <c r="E694" s="1456"/>
      <c r="R694" s="1457"/>
      <c r="S694" s="1457"/>
      <c r="T694" s="1457"/>
      <c r="U694" s="1457"/>
      <c r="V694" s="1457"/>
      <c r="W694" s="1457"/>
      <c r="X694" s="1457"/>
      <c r="Y694" s="1457"/>
    </row>
    <row r="695" spans="1:25" x14ac:dyDescent="0.2">
      <c r="A695" s="2296"/>
      <c r="B695" s="2296"/>
      <c r="C695" s="2296"/>
      <c r="D695" s="2296"/>
      <c r="E695" s="1456"/>
      <c r="R695" s="1457"/>
      <c r="S695" s="1457"/>
      <c r="T695" s="1457"/>
      <c r="U695" s="1457"/>
      <c r="V695" s="1457"/>
      <c r="W695" s="1457"/>
      <c r="X695" s="1457"/>
      <c r="Y695" s="1457"/>
    </row>
    <row r="696" spans="1:25" x14ac:dyDescent="0.2">
      <c r="A696" s="2296"/>
      <c r="B696" s="2296"/>
      <c r="C696" s="2296"/>
      <c r="D696" s="2296"/>
      <c r="E696" s="1456"/>
      <c r="R696" s="1457"/>
      <c r="S696" s="1457"/>
      <c r="T696" s="1457"/>
      <c r="U696" s="1457"/>
      <c r="V696" s="1457"/>
      <c r="W696" s="1457"/>
      <c r="X696" s="1457"/>
      <c r="Y696" s="1457"/>
    </row>
    <row r="697" spans="1:25" x14ac:dyDescent="0.2">
      <c r="A697" s="2296"/>
      <c r="B697" s="2296"/>
      <c r="C697" s="2296"/>
      <c r="D697" s="2296"/>
      <c r="E697" s="1456"/>
      <c r="R697" s="1457"/>
      <c r="S697" s="1457"/>
      <c r="T697" s="1457"/>
      <c r="U697" s="1457"/>
      <c r="V697" s="1457"/>
      <c r="W697" s="1457"/>
      <c r="X697" s="1457"/>
      <c r="Y697" s="1457"/>
    </row>
    <row r="698" spans="1:25" x14ac:dyDescent="0.2">
      <c r="A698" s="2296"/>
      <c r="B698" s="2296"/>
      <c r="C698" s="2296"/>
      <c r="D698" s="2296"/>
      <c r="E698" s="1456"/>
      <c r="R698" s="1457"/>
      <c r="S698" s="1457"/>
      <c r="T698" s="1457"/>
      <c r="U698" s="1457"/>
      <c r="V698" s="1457"/>
      <c r="W698" s="1457"/>
      <c r="X698" s="1457"/>
      <c r="Y698" s="1457"/>
    </row>
    <row r="699" spans="1:25" x14ac:dyDescent="0.2">
      <c r="A699" s="2296"/>
      <c r="B699" s="2296"/>
      <c r="C699" s="2296"/>
      <c r="D699" s="2296"/>
      <c r="E699" s="1456"/>
      <c r="R699" s="1457"/>
      <c r="S699" s="1457"/>
      <c r="T699" s="1457"/>
      <c r="U699" s="1457"/>
      <c r="V699" s="1457"/>
      <c r="W699" s="1457"/>
      <c r="X699" s="1457"/>
      <c r="Y699" s="1457"/>
    </row>
    <row r="700" spans="1:25" x14ac:dyDescent="0.2">
      <c r="A700" s="2296"/>
      <c r="B700" s="2296"/>
      <c r="C700" s="2296"/>
      <c r="D700" s="2296"/>
      <c r="E700" s="1456"/>
      <c r="R700" s="1457"/>
      <c r="S700" s="1457"/>
      <c r="T700" s="1457"/>
      <c r="U700" s="1457"/>
      <c r="V700" s="1457"/>
      <c r="W700" s="1457"/>
      <c r="X700" s="1457"/>
      <c r="Y700" s="1457"/>
    </row>
    <row r="701" spans="1:25" x14ac:dyDescent="0.2">
      <c r="A701" s="2296"/>
      <c r="B701" s="2296"/>
      <c r="C701" s="2296"/>
      <c r="D701" s="2296"/>
      <c r="E701" s="1456"/>
      <c r="R701" s="1457"/>
      <c r="S701" s="1457"/>
      <c r="T701" s="1457"/>
      <c r="U701" s="1457"/>
      <c r="V701" s="1457"/>
      <c r="W701" s="1457"/>
      <c r="X701" s="1457"/>
      <c r="Y701" s="1457"/>
    </row>
    <row r="702" spans="1:25" x14ac:dyDescent="0.2">
      <c r="A702" s="2296"/>
      <c r="B702" s="2296"/>
      <c r="C702" s="2296"/>
      <c r="D702" s="2296"/>
      <c r="E702" s="1456"/>
      <c r="R702" s="1457"/>
      <c r="S702" s="1457"/>
      <c r="T702" s="1457"/>
      <c r="U702" s="1457"/>
      <c r="V702" s="1457"/>
      <c r="W702" s="1457"/>
      <c r="X702" s="1457"/>
      <c r="Y702" s="1457"/>
    </row>
    <row r="703" spans="1:25" x14ac:dyDescent="0.2">
      <c r="A703" s="2296"/>
      <c r="B703" s="2296"/>
      <c r="C703" s="2296"/>
      <c r="D703" s="2296"/>
      <c r="E703" s="1456"/>
      <c r="R703" s="1457"/>
      <c r="S703" s="1457"/>
      <c r="T703" s="1457"/>
      <c r="U703" s="1457"/>
      <c r="V703" s="1457"/>
      <c r="W703" s="1457"/>
      <c r="X703" s="1457"/>
      <c r="Y703" s="1457"/>
    </row>
    <row r="704" spans="1:25" x14ac:dyDescent="0.2">
      <c r="A704" s="2296"/>
      <c r="B704" s="2296"/>
      <c r="C704" s="2296"/>
      <c r="D704" s="2296"/>
      <c r="E704" s="1456"/>
      <c r="R704" s="1457"/>
      <c r="S704" s="1457"/>
      <c r="T704" s="1457"/>
      <c r="U704" s="1457"/>
      <c r="V704" s="1457"/>
      <c r="W704" s="1457"/>
      <c r="X704" s="1457"/>
      <c r="Y704" s="1457"/>
    </row>
    <row r="705" spans="1:25" x14ac:dyDescent="0.2">
      <c r="A705" s="2296"/>
      <c r="B705" s="2296"/>
      <c r="C705" s="2296"/>
      <c r="D705" s="2296"/>
      <c r="E705" s="1456"/>
      <c r="R705" s="1457"/>
      <c r="S705" s="1457"/>
      <c r="T705" s="1457"/>
      <c r="U705" s="1457"/>
      <c r="V705" s="1457"/>
      <c r="W705" s="1457"/>
      <c r="X705" s="1457"/>
      <c r="Y705" s="1457"/>
    </row>
    <row r="706" spans="1:25" x14ac:dyDescent="0.2">
      <c r="A706" s="2296"/>
      <c r="B706" s="2296"/>
      <c r="C706" s="2296"/>
      <c r="D706" s="2296"/>
      <c r="E706" s="1456"/>
      <c r="R706" s="1457"/>
      <c r="S706" s="1457"/>
      <c r="T706" s="1457"/>
      <c r="U706" s="1457"/>
      <c r="V706" s="1457"/>
      <c r="W706" s="1457"/>
      <c r="X706" s="1457"/>
      <c r="Y706" s="1457"/>
    </row>
    <row r="707" spans="1:25" x14ac:dyDescent="0.2">
      <c r="A707" s="2296"/>
      <c r="B707" s="2296"/>
      <c r="C707" s="2296"/>
      <c r="D707" s="2296"/>
      <c r="E707" s="1456"/>
      <c r="R707" s="1457"/>
      <c r="S707" s="1457"/>
      <c r="T707" s="1457"/>
      <c r="U707" s="1457"/>
      <c r="V707" s="1457"/>
      <c r="W707" s="1457"/>
      <c r="X707" s="1457"/>
      <c r="Y707" s="1457"/>
    </row>
    <row r="708" spans="1:25" x14ac:dyDescent="0.2">
      <c r="A708" s="2296"/>
      <c r="B708" s="2296"/>
      <c r="C708" s="2296"/>
      <c r="D708" s="2296"/>
      <c r="E708" s="1456"/>
      <c r="R708" s="1457"/>
      <c r="S708" s="1457"/>
      <c r="T708" s="1457"/>
      <c r="U708" s="1457"/>
      <c r="V708" s="1457"/>
      <c r="W708" s="1457"/>
      <c r="X708" s="1457"/>
      <c r="Y708" s="1457"/>
    </row>
    <row r="709" spans="1:25" x14ac:dyDescent="0.2">
      <c r="A709" s="2296"/>
      <c r="B709" s="2296"/>
      <c r="C709" s="2296"/>
      <c r="D709" s="2296"/>
      <c r="E709" s="1456"/>
      <c r="R709" s="1457"/>
      <c r="S709" s="1457"/>
      <c r="T709" s="1457"/>
      <c r="U709" s="1457"/>
      <c r="V709" s="1457"/>
      <c r="W709" s="1457"/>
      <c r="X709" s="1457"/>
      <c r="Y709" s="1457"/>
    </row>
    <row r="710" spans="1:25" x14ac:dyDescent="0.2">
      <c r="A710" s="2296"/>
      <c r="B710" s="2296"/>
      <c r="C710" s="2296"/>
      <c r="D710" s="2296"/>
      <c r="E710" s="1456"/>
      <c r="R710" s="1457"/>
      <c r="S710" s="1457"/>
      <c r="T710" s="1457"/>
      <c r="U710" s="1457"/>
      <c r="V710" s="1457"/>
      <c r="W710" s="1457"/>
      <c r="X710" s="1457"/>
      <c r="Y710" s="1457"/>
    </row>
    <row r="711" spans="1:25" x14ac:dyDescent="0.2">
      <c r="A711" s="2296"/>
      <c r="B711" s="2296"/>
      <c r="C711" s="2296"/>
      <c r="D711" s="2296"/>
      <c r="E711" s="1456"/>
      <c r="R711" s="1457"/>
      <c r="S711" s="1457"/>
      <c r="T711" s="1457"/>
      <c r="U711" s="1457"/>
      <c r="V711" s="1457"/>
      <c r="W711" s="1457"/>
      <c r="X711" s="1457"/>
      <c r="Y711" s="1457"/>
    </row>
    <row r="712" spans="1:25" x14ac:dyDescent="0.2">
      <c r="A712" s="2296"/>
      <c r="B712" s="2296"/>
      <c r="C712" s="2296"/>
      <c r="D712" s="2296"/>
      <c r="E712" s="1456"/>
      <c r="R712" s="1457"/>
      <c r="S712" s="1457"/>
      <c r="T712" s="1457"/>
      <c r="U712" s="1457"/>
      <c r="V712" s="1457"/>
      <c r="W712" s="1457"/>
      <c r="X712" s="1457"/>
      <c r="Y712" s="1457"/>
    </row>
    <row r="713" spans="1:25" x14ac:dyDescent="0.2">
      <c r="A713" s="2296"/>
      <c r="B713" s="2296"/>
      <c r="C713" s="2296"/>
      <c r="D713" s="2296"/>
      <c r="E713" s="1456"/>
      <c r="R713" s="1457"/>
      <c r="S713" s="1457"/>
      <c r="T713" s="1457"/>
      <c r="U713" s="1457"/>
      <c r="V713" s="1457"/>
      <c r="W713" s="1457"/>
      <c r="X713" s="1457"/>
      <c r="Y713" s="1457"/>
    </row>
    <row r="714" spans="1:25" x14ac:dyDescent="0.2">
      <c r="A714" s="2296"/>
      <c r="B714" s="2296"/>
      <c r="C714" s="2296"/>
      <c r="D714" s="2296"/>
      <c r="E714" s="1456"/>
      <c r="R714" s="1457"/>
      <c r="S714" s="1457"/>
      <c r="T714" s="1457"/>
      <c r="U714" s="1457"/>
      <c r="V714" s="1457"/>
      <c r="W714" s="1457"/>
      <c r="X714" s="1457"/>
      <c r="Y714" s="1457"/>
    </row>
    <row r="715" spans="1:25" x14ac:dyDescent="0.2">
      <c r="A715" s="2296"/>
      <c r="B715" s="2296"/>
      <c r="C715" s="2296"/>
      <c r="D715" s="2296"/>
      <c r="E715" s="1456"/>
      <c r="R715" s="1457"/>
      <c r="S715" s="1457"/>
      <c r="T715" s="1457"/>
      <c r="U715" s="1457"/>
      <c r="V715" s="1457"/>
      <c r="W715" s="1457"/>
      <c r="X715" s="1457"/>
      <c r="Y715" s="1457"/>
    </row>
    <row r="716" spans="1:25" x14ac:dyDescent="0.2">
      <c r="A716" s="2296"/>
      <c r="B716" s="2296"/>
      <c r="C716" s="2296"/>
      <c r="D716" s="2296"/>
      <c r="E716" s="1456"/>
      <c r="R716" s="1457"/>
      <c r="S716" s="1457"/>
      <c r="T716" s="1457"/>
      <c r="U716" s="1457"/>
      <c r="V716" s="1457"/>
      <c r="W716" s="1457"/>
      <c r="X716" s="1457"/>
      <c r="Y716" s="1457"/>
    </row>
    <row r="717" spans="1:25" x14ac:dyDescent="0.2">
      <c r="A717" s="2296"/>
      <c r="B717" s="2296"/>
      <c r="C717" s="2296"/>
      <c r="D717" s="2296"/>
      <c r="E717" s="1456"/>
      <c r="R717" s="1457"/>
      <c r="S717" s="1457"/>
      <c r="T717" s="1457"/>
      <c r="U717" s="1457"/>
      <c r="V717" s="1457"/>
      <c r="W717" s="1457"/>
      <c r="X717" s="1457"/>
      <c r="Y717" s="1457"/>
    </row>
    <row r="718" spans="1:25" x14ac:dyDescent="0.2">
      <c r="A718" s="2296"/>
      <c r="B718" s="2296"/>
      <c r="C718" s="2296"/>
      <c r="D718" s="2296"/>
      <c r="E718" s="1456"/>
      <c r="R718" s="1457"/>
      <c r="S718" s="1457"/>
      <c r="T718" s="1457"/>
      <c r="U718" s="1457"/>
      <c r="V718" s="1457"/>
      <c r="W718" s="1457"/>
      <c r="X718" s="1457"/>
      <c r="Y718" s="1457"/>
    </row>
    <row r="719" spans="1:25" x14ac:dyDescent="0.2">
      <c r="A719" s="2296"/>
      <c r="B719" s="2296"/>
      <c r="C719" s="2296"/>
      <c r="D719" s="2296"/>
      <c r="E719" s="1456"/>
      <c r="R719" s="1457"/>
      <c r="S719" s="1457"/>
      <c r="T719" s="1457"/>
      <c r="U719" s="1457"/>
      <c r="V719" s="1457"/>
      <c r="W719" s="1457"/>
      <c r="X719" s="1457"/>
      <c r="Y719" s="1457"/>
    </row>
    <row r="720" spans="1:25" x14ac:dyDescent="0.2">
      <c r="A720" s="2296"/>
      <c r="B720" s="2296"/>
      <c r="C720" s="2296"/>
      <c r="D720" s="2296"/>
      <c r="E720" s="1456"/>
      <c r="R720" s="1457"/>
      <c r="S720" s="1457"/>
      <c r="T720" s="1457"/>
      <c r="U720" s="1457"/>
      <c r="V720" s="1457"/>
      <c r="W720" s="1457"/>
      <c r="X720" s="1457"/>
      <c r="Y720" s="1457"/>
    </row>
    <row r="721" spans="1:25" x14ac:dyDescent="0.2">
      <c r="A721" s="2296"/>
      <c r="B721" s="2296"/>
      <c r="C721" s="2296"/>
      <c r="D721" s="2296"/>
      <c r="E721" s="1456"/>
      <c r="R721" s="1457"/>
      <c r="S721" s="1457"/>
      <c r="T721" s="1457"/>
      <c r="U721" s="1457"/>
      <c r="V721" s="1457"/>
      <c r="W721" s="1457"/>
      <c r="X721" s="1457"/>
      <c r="Y721" s="1457"/>
    </row>
    <row r="722" spans="1:25" x14ac:dyDescent="0.2">
      <c r="A722" s="2296"/>
      <c r="B722" s="2296"/>
      <c r="C722" s="2296"/>
      <c r="D722" s="2296"/>
      <c r="E722" s="1456"/>
      <c r="R722" s="1457"/>
      <c r="S722" s="1457"/>
      <c r="T722" s="1457"/>
      <c r="U722" s="1457"/>
      <c r="V722" s="1457"/>
      <c r="W722" s="1457"/>
      <c r="X722" s="1457"/>
      <c r="Y722" s="1457"/>
    </row>
    <row r="723" spans="1:25" x14ac:dyDescent="0.2">
      <c r="A723" s="2296"/>
      <c r="B723" s="2296"/>
      <c r="C723" s="2296"/>
      <c r="D723" s="2296"/>
      <c r="E723" s="1456"/>
      <c r="R723" s="1457"/>
      <c r="S723" s="1457"/>
      <c r="T723" s="1457"/>
      <c r="U723" s="1457"/>
      <c r="V723" s="1457"/>
      <c r="W723" s="1457"/>
      <c r="X723" s="1457"/>
      <c r="Y723" s="1457"/>
    </row>
    <row r="724" spans="1:25" x14ac:dyDescent="0.2">
      <c r="A724" s="2296"/>
      <c r="B724" s="2296"/>
      <c r="C724" s="2296"/>
      <c r="D724" s="2296"/>
      <c r="E724" s="1456"/>
      <c r="R724" s="1457"/>
      <c r="S724" s="1457"/>
      <c r="T724" s="1457"/>
      <c r="U724" s="1457"/>
      <c r="V724" s="1457"/>
      <c r="W724" s="1457"/>
      <c r="X724" s="1457"/>
      <c r="Y724" s="1457"/>
    </row>
    <row r="725" spans="1:25" x14ac:dyDescent="0.2">
      <c r="A725" s="2296"/>
      <c r="B725" s="2296"/>
      <c r="C725" s="2296"/>
      <c r="D725" s="2296"/>
      <c r="E725" s="1456"/>
      <c r="R725" s="1457"/>
      <c r="S725" s="1457"/>
      <c r="T725" s="1457"/>
      <c r="U725" s="1457"/>
      <c r="V725" s="1457"/>
      <c r="W725" s="1457"/>
      <c r="X725" s="1457"/>
      <c r="Y725" s="1457"/>
    </row>
    <row r="726" spans="1:25" x14ac:dyDescent="0.2">
      <c r="A726" s="2296"/>
      <c r="B726" s="2296"/>
      <c r="C726" s="2296"/>
      <c r="D726" s="2296"/>
      <c r="E726" s="1456"/>
      <c r="R726" s="1457"/>
      <c r="S726" s="1457"/>
      <c r="T726" s="1457"/>
      <c r="U726" s="1457"/>
      <c r="V726" s="1457"/>
      <c r="W726" s="1457"/>
      <c r="X726" s="1457"/>
      <c r="Y726" s="1457"/>
    </row>
    <row r="727" spans="1:25" x14ac:dyDescent="0.2">
      <c r="A727" s="2296"/>
      <c r="B727" s="2296"/>
      <c r="C727" s="2296"/>
      <c r="D727" s="2296"/>
      <c r="E727" s="1456"/>
      <c r="R727" s="1457"/>
      <c r="S727" s="1457"/>
      <c r="T727" s="1457"/>
      <c r="U727" s="1457"/>
      <c r="V727" s="1457"/>
      <c r="W727" s="1457"/>
      <c r="X727" s="1457"/>
      <c r="Y727" s="1457"/>
    </row>
    <row r="728" spans="1:25" x14ac:dyDescent="0.2">
      <c r="A728" s="2296"/>
      <c r="B728" s="2296"/>
      <c r="C728" s="2296"/>
      <c r="D728" s="2296"/>
      <c r="E728" s="1456"/>
      <c r="R728" s="1457"/>
      <c r="S728" s="1457"/>
      <c r="T728" s="1457"/>
      <c r="U728" s="1457"/>
      <c r="V728" s="1457"/>
      <c r="W728" s="1457"/>
      <c r="X728" s="1457"/>
      <c r="Y728" s="1457"/>
    </row>
    <row r="729" spans="1:25" x14ac:dyDescent="0.2">
      <c r="A729" s="2296"/>
      <c r="B729" s="2296"/>
      <c r="C729" s="2296"/>
      <c r="D729" s="2296"/>
      <c r="E729" s="1456"/>
      <c r="R729" s="1457"/>
      <c r="S729" s="1457"/>
      <c r="T729" s="1457"/>
      <c r="U729" s="1457"/>
      <c r="V729" s="1457"/>
      <c r="W729" s="1457"/>
      <c r="X729" s="1457"/>
      <c r="Y729" s="1457"/>
    </row>
    <row r="730" spans="1:25" x14ac:dyDescent="0.2">
      <c r="A730" s="2296"/>
      <c r="B730" s="2296"/>
      <c r="C730" s="2296"/>
      <c r="D730" s="2296"/>
      <c r="E730" s="1456"/>
      <c r="R730" s="1457"/>
      <c r="S730" s="1457"/>
      <c r="T730" s="1457"/>
      <c r="U730" s="1457"/>
      <c r="V730" s="1457"/>
      <c r="W730" s="1457"/>
      <c r="X730" s="1457"/>
      <c r="Y730" s="1457"/>
    </row>
    <row r="731" spans="1:25" x14ac:dyDescent="0.2">
      <c r="A731" s="2296"/>
      <c r="B731" s="2296"/>
      <c r="C731" s="2296"/>
      <c r="D731" s="2296"/>
      <c r="E731" s="1456"/>
      <c r="R731" s="1457"/>
      <c r="S731" s="1457"/>
      <c r="T731" s="1457"/>
      <c r="U731" s="1457"/>
      <c r="V731" s="1457"/>
      <c r="W731" s="1457"/>
      <c r="X731" s="1457"/>
      <c r="Y731" s="1457"/>
    </row>
    <row r="732" spans="1:25" x14ac:dyDescent="0.2">
      <c r="A732" s="2296"/>
      <c r="B732" s="2296"/>
      <c r="C732" s="2296"/>
      <c r="D732" s="2296"/>
      <c r="E732" s="1456"/>
      <c r="R732" s="1457"/>
      <c r="S732" s="1457"/>
      <c r="T732" s="1457"/>
      <c r="U732" s="1457"/>
      <c r="V732" s="1457"/>
      <c r="W732" s="1457"/>
      <c r="X732" s="1457"/>
      <c r="Y732" s="1457"/>
    </row>
    <row r="733" spans="1:25" x14ac:dyDescent="0.2">
      <c r="A733" s="2296"/>
      <c r="B733" s="2296"/>
      <c r="C733" s="2296"/>
      <c r="D733" s="2296"/>
      <c r="E733" s="1456"/>
      <c r="R733" s="1457"/>
      <c r="S733" s="1457"/>
      <c r="T733" s="1457"/>
      <c r="U733" s="1457"/>
      <c r="V733" s="1457"/>
      <c r="W733" s="1457"/>
      <c r="X733" s="1457"/>
      <c r="Y733" s="1457"/>
    </row>
    <row r="734" spans="1:25" x14ac:dyDescent="0.2">
      <c r="A734" s="2296"/>
      <c r="B734" s="2296"/>
      <c r="C734" s="2296"/>
      <c r="D734" s="2296"/>
      <c r="E734" s="1456"/>
      <c r="R734" s="1457"/>
      <c r="S734" s="1457"/>
      <c r="T734" s="1457"/>
      <c r="U734" s="1457"/>
      <c r="V734" s="1457"/>
      <c r="W734" s="1457"/>
      <c r="X734" s="1457"/>
      <c r="Y734" s="1457"/>
    </row>
    <row r="735" spans="1:25" x14ac:dyDescent="0.2">
      <c r="A735" s="2296"/>
      <c r="B735" s="2296"/>
      <c r="C735" s="2296"/>
      <c r="D735" s="2296"/>
      <c r="E735" s="1456"/>
      <c r="R735" s="1457"/>
      <c r="S735" s="1457"/>
      <c r="T735" s="1457"/>
      <c r="U735" s="1457"/>
      <c r="V735" s="1457"/>
      <c r="W735" s="1457"/>
      <c r="X735" s="1457"/>
      <c r="Y735" s="1457"/>
    </row>
    <row r="736" spans="1:25" x14ac:dyDescent="0.2">
      <c r="A736" s="2296"/>
      <c r="B736" s="2296"/>
      <c r="C736" s="2296"/>
      <c r="D736" s="2296"/>
      <c r="E736" s="1456"/>
      <c r="R736" s="1457"/>
      <c r="S736" s="1457"/>
      <c r="T736" s="1457"/>
      <c r="U736" s="1457"/>
      <c r="V736" s="1457"/>
      <c r="W736" s="1457"/>
      <c r="X736" s="1457"/>
      <c r="Y736" s="1457"/>
    </row>
    <row r="737" spans="1:25" x14ac:dyDescent="0.2">
      <c r="A737" s="2296"/>
      <c r="B737" s="2296"/>
      <c r="C737" s="2296"/>
      <c r="D737" s="2296"/>
      <c r="E737" s="1456"/>
      <c r="R737" s="1457"/>
      <c r="S737" s="1457"/>
      <c r="T737" s="1457"/>
      <c r="U737" s="1457"/>
      <c r="V737" s="1457"/>
      <c r="W737" s="1457"/>
      <c r="X737" s="1457"/>
      <c r="Y737" s="1457"/>
    </row>
    <row r="738" spans="1:25" x14ac:dyDescent="0.2">
      <c r="A738" s="2296"/>
      <c r="B738" s="2296"/>
      <c r="C738" s="2296"/>
      <c r="D738" s="2296"/>
      <c r="E738" s="1456"/>
      <c r="R738" s="1457"/>
      <c r="S738" s="1457"/>
      <c r="T738" s="1457"/>
      <c r="U738" s="1457"/>
      <c r="V738" s="1457"/>
      <c r="W738" s="1457"/>
      <c r="X738" s="1457"/>
      <c r="Y738" s="1457"/>
    </row>
    <row r="739" spans="1:25" x14ac:dyDescent="0.2">
      <c r="A739" s="2296"/>
      <c r="B739" s="2296"/>
      <c r="C739" s="2296"/>
      <c r="D739" s="2296"/>
      <c r="E739" s="1456"/>
      <c r="R739" s="1457"/>
      <c r="S739" s="1457"/>
      <c r="T739" s="1457"/>
      <c r="U739" s="1457"/>
      <c r="V739" s="1457"/>
      <c r="W739" s="1457"/>
      <c r="X739" s="1457"/>
      <c r="Y739" s="1457"/>
    </row>
    <row r="740" spans="1:25" x14ac:dyDescent="0.2">
      <c r="A740" s="2296"/>
      <c r="B740" s="2296"/>
      <c r="C740" s="2296"/>
      <c r="D740" s="2296"/>
      <c r="E740" s="1456"/>
      <c r="R740" s="1457"/>
      <c r="S740" s="1457"/>
      <c r="T740" s="1457"/>
      <c r="U740" s="1457"/>
      <c r="V740" s="1457"/>
      <c r="W740" s="1457"/>
      <c r="X740" s="1457"/>
      <c r="Y740" s="1457"/>
    </row>
    <row r="741" spans="1:25" x14ac:dyDescent="0.2">
      <c r="A741" s="2296"/>
      <c r="B741" s="2296"/>
      <c r="C741" s="2296"/>
      <c r="D741" s="2296"/>
      <c r="E741" s="1456"/>
      <c r="R741" s="1457"/>
      <c r="S741" s="1457"/>
      <c r="T741" s="1457"/>
      <c r="U741" s="1457"/>
      <c r="V741" s="1457"/>
      <c r="W741" s="1457"/>
      <c r="X741" s="1457"/>
      <c r="Y741" s="1457"/>
    </row>
    <row r="742" spans="1:25" x14ac:dyDescent="0.2">
      <c r="A742" s="2296"/>
      <c r="B742" s="2296"/>
      <c r="C742" s="2296"/>
      <c r="D742" s="2296"/>
      <c r="E742" s="1456"/>
      <c r="R742" s="1457"/>
      <c r="S742" s="1457"/>
      <c r="T742" s="1457"/>
      <c r="U742" s="1457"/>
      <c r="V742" s="1457"/>
      <c r="W742" s="1457"/>
      <c r="X742" s="1457"/>
      <c r="Y742" s="1457"/>
    </row>
    <row r="743" spans="1:25" x14ac:dyDescent="0.2">
      <c r="A743" s="2296"/>
      <c r="B743" s="2296"/>
      <c r="C743" s="2296"/>
      <c r="D743" s="2296"/>
      <c r="E743" s="1456"/>
      <c r="R743" s="1457"/>
      <c r="S743" s="1457"/>
      <c r="T743" s="1457"/>
      <c r="U743" s="1457"/>
      <c r="V743" s="1457"/>
      <c r="W743" s="1457"/>
      <c r="X743" s="1457"/>
      <c r="Y743" s="1457"/>
    </row>
    <row r="744" spans="1:25" x14ac:dyDescent="0.2">
      <c r="A744" s="2296"/>
      <c r="B744" s="2296"/>
      <c r="C744" s="2296"/>
      <c r="D744" s="2296"/>
      <c r="E744" s="1456"/>
      <c r="R744" s="1457"/>
      <c r="S744" s="1457"/>
      <c r="T744" s="1457"/>
      <c r="U744" s="1457"/>
      <c r="V744" s="1457"/>
      <c r="W744" s="1457"/>
      <c r="X744" s="1457"/>
      <c r="Y744" s="1457"/>
    </row>
    <row r="745" spans="1:25" x14ac:dyDescent="0.2">
      <c r="A745" s="2296"/>
      <c r="B745" s="2296"/>
      <c r="C745" s="2296"/>
      <c r="D745" s="2296"/>
      <c r="E745" s="1456"/>
      <c r="R745" s="1457"/>
      <c r="S745" s="1457"/>
      <c r="T745" s="1457"/>
      <c r="U745" s="1457"/>
      <c r="V745" s="1457"/>
      <c r="W745" s="1457"/>
      <c r="X745" s="1457"/>
      <c r="Y745" s="1457"/>
    </row>
    <row r="746" spans="1:25" x14ac:dyDescent="0.2">
      <c r="A746" s="2296"/>
      <c r="B746" s="2296"/>
      <c r="C746" s="2296"/>
      <c r="D746" s="2296"/>
      <c r="E746" s="1456"/>
      <c r="R746" s="1457"/>
      <c r="S746" s="1457"/>
      <c r="T746" s="1457"/>
      <c r="U746" s="1457"/>
      <c r="V746" s="1457"/>
      <c r="W746" s="1457"/>
      <c r="X746" s="1457"/>
      <c r="Y746" s="1457"/>
    </row>
    <row r="747" spans="1:25" x14ac:dyDescent="0.2">
      <c r="A747" s="2296"/>
      <c r="B747" s="2296"/>
      <c r="C747" s="2296"/>
      <c r="D747" s="2296"/>
      <c r="E747" s="1456"/>
      <c r="R747" s="1457"/>
      <c r="S747" s="1457"/>
      <c r="T747" s="1457"/>
      <c r="U747" s="1457"/>
      <c r="V747" s="1457"/>
      <c r="W747" s="1457"/>
      <c r="X747" s="1457"/>
      <c r="Y747" s="1457"/>
    </row>
    <row r="748" spans="1:25" x14ac:dyDescent="0.2">
      <c r="A748" s="2296"/>
      <c r="B748" s="2296"/>
      <c r="C748" s="2296"/>
      <c r="D748" s="2296"/>
      <c r="E748" s="1456"/>
      <c r="R748" s="1457"/>
      <c r="S748" s="1457"/>
      <c r="T748" s="1457"/>
      <c r="U748" s="1457"/>
      <c r="V748" s="1457"/>
      <c r="W748" s="1457"/>
      <c r="X748" s="1457"/>
      <c r="Y748" s="1457"/>
    </row>
    <row r="749" spans="1:25" x14ac:dyDescent="0.2">
      <c r="A749" s="2296"/>
      <c r="B749" s="2296"/>
      <c r="C749" s="2296"/>
      <c r="D749" s="2296"/>
      <c r="E749" s="1456"/>
      <c r="R749" s="1457"/>
      <c r="S749" s="1457"/>
      <c r="T749" s="1457"/>
      <c r="U749" s="1457"/>
      <c r="V749" s="1457"/>
      <c r="W749" s="1457"/>
      <c r="X749" s="1457"/>
      <c r="Y749" s="1457"/>
    </row>
    <row r="750" spans="1:25" x14ac:dyDescent="0.2">
      <c r="A750" s="2296"/>
      <c r="B750" s="2296"/>
      <c r="C750" s="2296"/>
      <c r="D750" s="2296"/>
      <c r="E750" s="1456"/>
      <c r="R750" s="1457"/>
      <c r="S750" s="1457"/>
      <c r="T750" s="1457"/>
      <c r="U750" s="1457"/>
      <c r="V750" s="1457"/>
      <c r="W750" s="1457"/>
      <c r="X750" s="1457"/>
      <c r="Y750" s="1457"/>
    </row>
    <row r="751" spans="1:25" x14ac:dyDescent="0.2">
      <c r="A751" s="2296"/>
      <c r="B751" s="2296"/>
      <c r="C751" s="2296"/>
      <c r="D751" s="2296"/>
      <c r="E751" s="1456"/>
      <c r="R751" s="1457"/>
      <c r="S751" s="1457"/>
      <c r="T751" s="1457"/>
      <c r="U751" s="1457"/>
      <c r="V751" s="1457"/>
      <c r="W751" s="1457"/>
      <c r="X751" s="1457"/>
      <c r="Y751" s="1457"/>
    </row>
    <row r="752" spans="1:25" x14ac:dyDescent="0.2">
      <c r="A752" s="2296"/>
      <c r="B752" s="2296"/>
      <c r="C752" s="2296"/>
      <c r="D752" s="2296"/>
      <c r="E752" s="1456"/>
      <c r="R752" s="1457"/>
      <c r="S752" s="1457"/>
      <c r="T752" s="1457"/>
      <c r="U752" s="1457"/>
      <c r="V752" s="1457"/>
      <c r="W752" s="1457"/>
      <c r="X752" s="1457"/>
      <c r="Y752" s="1457"/>
    </row>
    <row r="753" spans="1:25" x14ac:dyDescent="0.2">
      <c r="A753" s="2296"/>
      <c r="B753" s="2296"/>
      <c r="C753" s="2296"/>
      <c r="D753" s="2296"/>
      <c r="E753" s="1456"/>
      <c r="R753" s="1457"/>
      <c r="S753" s="1457"/>
      <c r="T753" s="1457"/>
      <c r="U753" s="1457"/>
      <c r="V753" s="1457"/>
      <c r="W753" s="1457"/>
      <c r="X753" s="1457"/>
      <c r="Y753" s="1457"/>
    </row>
    <row r="754" spans="1:25" x14ac:dyDescent="0.2">
      <c r="A754" s="2296"/>
      <c r="B754" s="2296"/>
      <c r="C754" s="2296"/>
      <c r="D754" s="2296"/>
      <c r="E754" s="1456"/>
      <c r="R754" s="1457"/>
      <c r="S754" s="1457"/>
      <c r="T754" s="1457"/>
      <c r="U754" s="1457"/>
      <c r="V754" s="1457"/>
      <c r="W754" s="1457"/>
      <c r="X754" s="1457"/>
      <c r="Y754" s="1457"/>
    </row>
    <row r="755" spans="1:25" x14ac:dyDescent="0.2">
      <c r="A755" s="2296"/>
      <c r="B755" s="2296"/>
      <c r="C755" s="2296"/>
      <c r="D755" s="2296"/>
      <c r="E755" s="1456"/>
      <c r="R755" s="1457"/>
      <c r="S755" s="1457"/>
      <c r="T755" s="1457"/>
      <c r="U755" s="1457"/>
      <c r="V755" s="1457"/>
      <c r="W755" s="1457"/>
      <c r="X755" s="1457"/>
      <c r="Y755" s="1457"/>
    </row>
    <row r="756" spans="1:25" x14ac:dyDescent="0.2">
      <c r="A756" s="2296"/>
      <c r="B756" s="2296"/>
      <c r="C756" s="2296"/>
      <c r="D756" s="2296"/>
      <c r="E756" s="1456"/>
      <c r="R756" s="1457"/>
      <c r="S756" s="1457"/>
      <c r="T756" s="1457"/>
      <c r="U756" s="1457"/>
      <c r="V756" s="1457"/>
      <c r="W756" s="1457"/>
      <c r="X756" s="1457"/>
      <c r="Y756" s="1457"/>
    </row>
    <row r="757" spans="1:25" x14ac:dyDescent="0.2">
      <c r="A757" s="2296"/>
      <c r="B757" s="2296"/>
      <c r="C757" s="2296"/>
      <c r="D757" s="2296"/>
      <c r="E757" s="1456"/>
      <c r="R757" s="1457"/>
      <c r="S757" s="1457"/>
      <c r="T757" s="1457"/>
      <c r="U757" s="1457"/>
      <c r="V757" s="1457"/>
      <c r="W757" s="1457"/>
      <c r="X757" s="1457"/>
      <c r="Y757" s="1457"/>
    </row>
    <row r="758" spans="1:25" x14ac:dyDescent="0.2">
      <c r="A758" s="2296"/>
      <c r="B758" s="2296"/>
      <c r="C758" s="2296"/>
      <c r="D758" s="2296"/>
      <c r="E758" s="1456"/>
      <c r="R758" s="1457"/>
      <c r="S758" s="1457"/>
      <c r="T758" s="1457"/>
      <c r="U758" s="1457"/>
      <c r="V758" s="1457"/>
      <c r="W758" s="1457"/>
      <c r="X758" s="1457"/>
      <c r="Y758" s="1457"/>
    </row>
    <row r="759" spans="1:25" x14ac:dyDescent="0.2">
      <c r="A759" s="2296"/>
      <c r="B759" s="2296"/>
      <c r="C759" s="2296"/>
      <c r="D759" s="2296"/>
      <c r="E759" s="1456"/>
      <c r="R759" s="1457"/>
      <c r="S759" s="1457"/>
      <c r="T759" s="1457"/>
      <c r="U759" s="1457"/>
      <c r="V759" s="1457"/>
      <c r="W759" s="1457"/>
      <c r="X759" s="1457"/>
      <c r="Y759" s="1457"/>
    </row>
    <row r="760" spans="1:25" x14ac:dyDescent="0.2">
      <c r="A760" s="2296"/>
      <c r="B760" s="2296"/>
      <c r="C760" s="2296"/>
      <c r="D760" s="2296"/>
      <c r="E760" s="1456"/>
      <c r="R760" s="1457"/>
      <c r="S760" s="1457"/>
      <c r="T760" s="1457"/>
      <c r="U760" s="1457"/>
      <c r="V760" s="1457"/>
      <c r="W760" s="1457"/>
      <c r="X760" s="1457"/>
      <c r="Y760" s="1457"/>
    </row>
    <row r="761" spans="1:25" x14ac:dyDescent="0.2">
      <c r="A761" s="2296"/>
      <c r="B761" s="2296"/>
      <c r="C761" s="2296"/>
      <c r="D761" s="2296"/>
      <c r="E761" s="1456"/>
      <c r="R761" s="1457"/>
      <c r="S761" s="1457"/>
      <c r="T761" s="1457"/>
      <c r="U761" s="1457"/>
      <c r="V761" s="1457"/>
      <c r="W761" s="1457"/>
      <c r="X761" s="1457"/>
      <c r="Y761" s="1457"/>
    </row>
    <row r="762" spans="1:25" x14ac:dyDescent="0.2">
      <c r="A762" s="2296"/>
      <c r="B762" s="2296"/>
      <c r="C762" s="2296"/>
      <c r="D762" s="2296"/>
      <c r="E762" s="1456"/>
      <c r="R762" s="1457"/>
      <c r="S762" s="1457"/>
      <c r="T762" s="1457"/>
      <c r="U762" s="1457"/>
      <c r="V762" s="1457"/>
      <c r="W762" s="1457"/>
      <c r="X762" s="1457"/>
      <c r="Y762" s="1457"/>
    </row>
    <row r="763" spans="1:25" x14ac:dyDescent="0.2">
      <c r="A763" s="2296"/>
      <c r="B763" s="2296"/>
      <c r="C763" s="2296"/>
      <c r="D763" s="2296"/>
      <c r="E763" s="1456"/>
      <c r="R763" s="1457"/>
      <c r="S763" s="1457"/>
      <c r="T763" s="1457"/>
      <c r="U763" s="1457"/>
      <c r="V763" s="1457"/>
      <c r="W763" s="1457"/>
      <c r="X763" s="1457"/>
      <c r="Y763" s="1457"/>
    </row>
    <row r="764" spans="1:25" x14ac:dyDescent="0.2">
      <c r="A764" s="2296"/>
      <c r="B764" s="2296"/>
      <c r="C764" s="2296"/>
      <c r="D764" s="2296"/>
      <c r="E764" s="1456"/>
      <c r="R764" s="1457"/>
      <c r="S764" s="1457"/>
      <c r="T764" s="1457"/>
      <c r="U764" s="1457"/>
      <c r="V764" s="1457"/>
      <c r="W764" s="1457"/>
      <c r="X764" s="1457"/>
      <c r="Y764" s="1457"/>
    </row>
    <row r="765" spans="1:25" x14ac:dyDescent="0.2">
      <c r="A765" s="2296"/>
      <c r="B765" s="2296"/>
      <c r="C765" s="2296"/>
      <c r="D765" s="2296"/>
      <c r="E765" s="1456"/>
      <c r="R765" s="1457"/>
      <c r="S765" s="1457"/>
      <c r="T765" s="1457"/>
      <c r="U765" s="1457"/>
      <c r="V765" s="1457"/>
      <c r="W765" s="1457"/>
      <c r="X765" s="1457"/>
      <c r="Y765" s="1457"/>
    </row>
    <row r="766" spans="1:25" x14ac:dyDescent="0.2">
      <c r="A766" s="2296"/>
      <c r="B766" s="2296"/>
      <c r="C766" s="2296"/>
      <c r="D766" s="2296"/>
      <c r="E766" s="1456"/>
      <c r="R766" s="1457"/>
      <c r="S766" s="1457"/>
      <c r="T766" s="1457"/>
      <c r="U766" s="1457"/>
      <c r="V766" s="1457"/>
      <c r="W766" s="1457"/>
      <c r="X766" s="1457"/>
      <c r="Y766" s="1457"/>
    </row>
    <row r="767" spans="1:25" x14ac:dyDescent="0.2">
      <c r="A767" s="2296"/>
      <c r="B767" s="2296"/>
      <c r="C767" s="2296"/>
      <c r="D767" s="2296"/>
      <c r="E767" s="1456"/>
      <c r="R767" s="1457"/>
      <c r="S767" s="1457"/>
      <c r="T767" s="1457"/>
      <c r="U767" s="1457"/>
      <c r="V767" s="1457"/>
      <c r="W767" s="1457"/>
      <c r="X767" s="1457"/>
      <c r="Y767" s="1457"/>
    </row>
    <row r="768" spans="1:25" x14ac:dyDescent="0.2">
      <c r="A768" s="2296"/>
      <c r="B768" s="2296"/>
      <c r="C768" s="2296"/>
      <c r="D768" s="2296"/>
      <c r="E768" s="1456"/>
      <c r="R768" s="1457"/>
      <c r="S768" s="1457"/>
      <c r="T768" s="1457"/>
      <c r="U768" s="1457"/>
      <c r="V768" s="1457"/>
      <c r="W768" s="1457"/>
      <c r="X768" s="1457"/>
      <c r="Y768" s="1457"/>
    </row>
    <row r="769" spans="1:25" x14ac:dyDescent="0.2">
      <c r="A769" s="2296"/>
      <c r="B769" s="2296"/>
      <c r="C769" s="2296"/>
      <c r="D769" s="2296"/>
      <c r="E769" s="1456"/>
      <c r="R769" s="1457"/>
      <c r="S769" s="1457"/>
      <c r="T769" s="1457"/>
      <c r="U769" s="1457"/>
      <c r="V769" s="1457"/>
      <c r="W769" s="1457"/>
      <c r="X769" s="1457"/>
      <c r="Y769" s="1457"/>
    </row>
    <row r="770" spans="1:25" x14ac:dyDescent="0.2">
      <c r="A770" s="2296"/>
      <c r="B770" s="2296"/>
      <c r="C770" s="2296"/>
      <c r="D770" s="2296"/>
      <c r="E770" s="1456"/>
      <c r="R770" s="1457"/>
      <c r="S770" s="1457"/>
      <c r="T770" s="1457"/>
      <c r="U770" s="1457"/>
      <c r="V770" s="1457"/>
      <c r="W770" s="1457"/>
      <c r="X770" s="1457"/>
      <c r="Y770" s="1457"/>
    </row>
    <row r="771" spans="1:25" x14ac:dyDescent="0.2">
      <c r="A771" s="2296"/>
      <c r="B771" s="2296"/>
      <c r="C771" s="2296"/>
      <c r="D771" s="2296"/>
      <c r="E771" s="1456"/>
      <c r="R771" s="1457"/>
      <c r="S771" s="1457"/>
      <c r="T771" s="1457"/>
      <c r="U771" s="1457"/>
      <c r="V771" s="1457"/>
      <c r="W771" s="1457"/>
      <c r="X771" s="1457"/>
      <c r="Y771" s="1457"/>
    </row>
    <row r="772" spans="1:25" x14ac:dyDescent="0.2">
      <c r="A772" s="2296"/>
      <c r="B772" s="2296"/>
      <c r="C772" s="2296"/>
      <c r="D772" s="2296"/>
      <c r="E772" s="1456"/>
      <c r="R772" s="1457"/>
      <c r="S772" s="1457"/>
      <c r="T772" s="1457"/>
      <c r="U772" s="1457"/>
      <c r="V772" s="1457"/>
      <c r="W772" s="1457"/>
      <c r="X772" s="1457"/>
      <c r="Y772" s="1457"/>
    </row>
    <row r="773" spans="1:25" x14ac:dyDescent="0.2">
      <c r="A773" s="2296"/>
      <c r="B773" s="2296"/>
      <c r="C773" s="2296"/>
      <c r="D773" s="2296"/>
      <c r="E773" s="1456"/>
      <c r="R773" s="1457"/>
      <c r="S773" s="1457"/>
      <c r="T773" s="1457"/>
      <c r="U773" s="1457"/>
      <c r="V773" s="1457"/>
      <c r="W773" s="1457"/>
      <c r="X773" s="1457"/>
      <c r="Y773" s="1457"/>
    </row>
    <row r="774" spans="1:25" x14ac:dyDescent="0.2">
      <c r="A774" s="2296"/>
      <c r="B774" s="2296"/>
      <c r="C774" s="2296"/>
      <c r="D774" s="2296"/>
      <c r="E774" s="1456"/>
      <c r="R774" s="1457"/>
      <c r="S774" s="1457"/>
      <c r="T774" s="1457"/>
      <c r="U774" s="1457"/>
      <c r="V774" s="1457"/>
      <c r="W774" s="1457"/>
      <c r="X774" s="1457"/>
      <c r="Y774" s="1457"/>
    </row>
    <row r="775" spans="1:25" x14ac:dyDescent="0.2">
      <c r="A775" s="2296"/>
      <c r="B775" s="2296"/>
      <c r="C775" s="2296"/>
      <c r="D775" s="2296"/>
      <c r="E775" s="1456"/>
      <c r="R775" s="1457"/>
      <c r="S775" s="1457"/>
      <c r="T775" s="1457"/>
      <c r="U775" s="1457"/>
      <c r="V775" s="1457"/>
      <c r="W775" s="1457"/>
      <c r="X775" s="1457"/>
      <c r="Y775" s="1457"/>
    </row>
    <row r="776" spans="1:25" x14ac:dyDescent="0.2">
      <c r="A776" s="2296"/>
      <c r="B776" s="2296"/>
      <c r="C776" s="2296"/>
      <c r="D776" s="2296"/>
      <c r="E776" s="1456"/>
      <c r="R776" s="1457"/>
      <c r="S776" s="1457"/>
      <c r="T776" s="1457"/>
      <c r="U776" s="1457"/>
      <c r="V776" s="1457"/>
      <c r="W776" s="1457"/>
      <c r="X776" s="1457"/>
      <c r="Y776" s="1457"/>
    </row>
    <row r="777" spans="1:25" x14ac:dyDescent="0.2">
      <c r="A777" s="2296"/>
      <c r="B777" s="2296"/>
      <c r="C777" s="2296"/>
      <c r="D777" s="2296"/>
      <c r="E777" s="1456"/>
      <c r="R777" s="1457"/>
      <c r="S777" s="1457"/>
      <c r="T777" s="1457"/>
      <c r="U777" s="1457"/>
      <c r="V777" s="1457"/>
      <c r="W777" s="1457"/>
      <c r="X777" s="1457"/>
      <c r="Y777" s="1457"/>
    </row>
    <row r="778" spans="1:25" x14ac:dyDescent="0.2">
      <c r="A778" s="2296"/>
      <c r="B778" s="2296"/>
      <c r="C778" s="2296"/>
      <c r="D778" s="2296"/>
      <c r="E778" s="1456"/>
      <c r="R778" s="1457"/>
      <c r="S778" s="1457"/>
      <c r="T778" s="1457"/>
      <c r="U778" s="1457"/>
      <c r="V778" s="1457"/>
      <c r="W778" s="1457"/>
      <c r="X778" s="1457"/>
      <c r="Y778" s="1457"/>
    </row>
    <row r="779" spans="1:25" x14ac:dyDescent="0.2">
      <c r="A779" s="2296"/>
      <c r="B779" s="2296"/>
      <c r="C779" s="2296"/>
      <c r="D779" s="2296"/>
      <c r="E779" s="1456"/>
      <c r="R779" s="1457"/>
      <c r="S779" s="1457"/>
      <c r="T779" s="1457"/>
      <c r="U779" s="1457"/>
      <c r="V779" s="1457"/>
      <c r="W779" s="1457"/>
      <c r="X779" s="1457"/>
      <c r="Y779" s="1457"/>
    </row>
    <row r="780" spans="1:25" x14ac:dyDescent="0.2">
      <c r="A780" s="2296"/>
      <c r="B780" s="2296"/>
      <c r="C780" s="2296"/>
      <c r="D780" s="2296"/>
      <c r="E780" s="1456"/>
      <c r="R780" s="1457"/>
      <c r="S780" s="1457"/>
      <c r="T780" s="1457"/>
      <c r="U780" s="1457"/>
      <c r="V780" s="1457"/>
      <c r="W780" s="1457"/>
      <c r="X780" s="1457"/>
      <c r="Y780" s="1457"/>
    </row>
    <row r="781" spans="1:25" x14ac:dyDescent="0.2">
      <c r="A781" s="2296"/>
      <c r="B781" s="2296"/>
      <c r="C781" s="2296"/>
      <c r="D781" s="2296"/>
      <c r="E781" s="1456"/>
      <c r="R781" s="1457"/>
      <c r="S781" s="1457"/>
      <c r="T781" s="1457"/>
      <c r="U781" s="1457"/>
      <c r="V781" s="1457"/>
      <c r="W781" s="1457"/>
      <c r="X781" s="1457"/>
      <c r="Y781" s="1457"/>
    </row>
    <row r="782" spans="1:25" x14ac:dyDescent="0.2">
      <c r="A782" s="2296"/>
      <c r="B782" s="2296"/>
      <c r="C782" s="2296"/>
      <c r="D782" s="2296"/>
      <c r="E782" s="1456"/>
      <c r="R782" s="1457"/>
      <c r="S782" s="1457"/>
      <c r="T782" s="1457"/>
      <c r="U782" s="1457"/>
      <c r="V782" s="1457"/>
      <c r="W782" s="1457"/>
      <c r="X782" s="1457"/>
      <c r="Y782" s="1457"/>
    </row>
    <row r="783" spans="1:25" x14ac:dyDescent="0.2">
      <c r="A783" s="2296"/>
      <c r="B783" s="2296"/>
      <c r="C783" s="2296"/>
      <c r="D783" s="2296"/>
      <c r="E783" s="1456"/>
      <c r="R783" s="1457"/>
      <c r="S783" s="1457"/>
      <c r="T783" s="1457"/>
      <c r="U783" s="1457"/>
      <c r="V783" s="1457"/>
      <c r="W783" s="1457"/>
      <c r="X783" s="1457"/>
      <c r="Y783" s="1457"/>
    </row>
    <row r="784" spans="1:25" x14ac:dyDescent="0.2">
      <c r="A784" s="2296"/>
      <c r="B784" s="2296"/>
      <c r="C784" s="2296"/>
      <c r="D784" s="2296"/>
      <c r="E784" s="1456"/>
      <c r="R784" s="1457"/>
      <c r="S784" s="1457"/>
      <c r="T784" s="1457"/>
      <c r="U784" s="1457"/>
      <c r="V784" s="1457"/>
      <c r="W784" s="1457"/>
      <c r="X784" s="1457"/>
      <c r="Y784" s="1457"/>
    </row>
    <row r="785" spans="1:25" x14ac:dyDescent="0.2">
      <c r="A785" s="2296"/>
      <c r="B785" s="2296"/>
      <c r="C785" s="2296"/>
      <c r="D785" s="2296"/>
      <c r="E785" s="1456"/>
      <c r="R785" s="1457"/>
      <c r="S785" s="1457"/>
      <c r="T785" s="1457"/>
      <c r="U785" s="1457"/>
      <c r="V785" s="1457"/>
      <c r="W785" s="1457"/>
      <c r="X785" s="1457"/>
      <c r="Y785" s="1457"/>
    </row>
    <row r="786" spans="1:25" x14ac:dyDescent="0.2">
      <c r="A786" s="2296"/>
      <c r="B786" s="2296"/>
      <c r="C786" s="2296"/>
      <c r="D786" s="2296"/>
      <c r="E786" s="1456"/>
      <c r="R786" s="1457"/>
      <c r="S786" s="1457"/>
      <c r="T786" s="1457"/>
      <c r="U786" s="1457"/>
      <c r="V786" s="1457"/>
      <c r="W786" s="1457"/>
      <c r="X786" s="1457"/>
      <c r="Y786" s="1457"/>
    </row>
    <row r="787" spans="1:25" x14ac:dyDescent="0.2">
      <c r="A787" s="2296"/>
      <c r="B787" s="2296"/>
      <c r="C787" s="2296"/>
      <c r="D787" s="2296"/>
      <c r="E787" s="1456"/>
      <c r="R787" s="1457"/>
      <c r="S787" s="1457"/>
      <c r="T787" s="1457"/>
      <c r="U787" s="1457"/>
      <c r="V787" s="1457"/>
      <c r="W787" s="1457"/>
      <c r="X787" s="1457"/>
      <c r="Y787" s="1457"/>
    </row>
    <row r="788" spans="1:25" x14ac:dyDescent="0.2">
      <c r="A788" s="2296"/>
      <c r="B788" s="2296"/>
      <c r="C788" s="2296"/>
      <c r="D788" s="2296"/>
      <c r="E788" s="1456"/>
      <c r="R788" s="1457"/>
      <c r="S788" s="1457"/>
      <c r="T788" s="1457"/>
      <c r="U788" s="1457"/>
      <c r="V788" s="1457"/>
      <c r="W788" s="1457"/>
      <c r="X788" s="1457"/>
      <c r="Y788" s="1457"/>
    </row>
    <row r="789" spans="1:25" x14ac:dyDescent="0.2">
      <c r="A789" s="2296"/>
      <c r="B789" s="2296"/>
      <c r="C789" s="2296"/>
      <c r="D789" s="2296"/>
      <c r="E789" s="1456"/>
      <c r="R789" s="1457"/>
      <c r="S789" s="1457"/>
      <c r="T789" s="1457"/>
      <c r="U789" s="1457"/>
      <c r="V789" s="1457"/>
      <c r="W789" s="1457"/>
      <c r="X789" s="1457"/>
      <c r="Y789" s="1457"/>
    </row>
    <row r="790" spans="1:25" x14ac:dyDescent="0.2">
      <c r="A790" s="2296"/>
      <c r="B790" s="2296"/>
      <c r="C790" s="2296"/>
      <c r="D790" s="2296"/>
      <c r="E790" s="1456"/>
      <c r="R790" s="1457"/>
      <c r="S790" s="1457"/>
      <c r="T790" s="1457"/>
      <c r="U790" s="1457"/>
      <c r="V790" s="1457"/>
      <c r="W790" s="1457"/>
      <c r="X790" s="1457"/>
      <c r="Y790" s="1457"/>
    </row>
    <row r="791" spans="1:25" x14ac:dyDescent="0.2">
      <c r="A791" s="2296"/>
      <c r="B791" s="2296"/>
      <c r="C791" s="2296"/>
      <c r="D791" s="2296"/>
      <c r="E791" s="1456"/>
      <c r="R791" s="1457"/>
      <c r="S791" s="1457"/>
      <c r="T791" s="1457"/>
      <c r="U791" s="1457"/>
      <c r="V791" s="1457"/>
      <c r="W791" s="1457"/>
      <c r="X791" s="1457"/>
      <c r="Y791" s="1457"/>
    </row>
    <row r="792" spans="1:25" x14ac:dyDescent="0.2">
      <c r="A792" s="2296"/>
      <c r="B792" s="2296"/>
      <c r="C792" s="2296"/>
      <c r="D792" s="2296"/>
      <c r="E792" s="1456"/>
      <c r="R792" s="1457"/>
      <c r="S792" s="1457"/>
      <c r="T792" s="1457"/>
      <c r="U792" s="1457"/>
      <c r="V792" s="1457"/>
      <c r="W792" s="1457"/>
      <c r="X792" s="1457"/>
      <c r="Y792" s="1457"/>
    </row>
    <row r="793" spans="1:25" x14ac:dyDescent="0.2">
      <c r="A793" s="2296"/>
      <c r="B793" s="2296"/>
      <c r="C793" s="2296"/>
      <c r="D793" s="2296"/>
      <c r="E793" s="1456"/>
      <c r="R793" s="1457"/>
      <c r="S793" s="1457"/>
      <c r="T793" s="1457"/>
      <c r="U793" s="1457"/>
      <c r="V793" s="1457"/>
      <c r="W793" s="1457"/>
      <c r="X793" s="1457"/>
      <c r="Y793" s="1457"/>
    </row>
    <row r="794" spans="1:25" x14ac:dyDescent="0.2">
      <c r="A794" s="2296"/>
      <c r="B794" s="2296"/>
      <c r="C794" s="2296"/>
      <c r="D794" s="2296"/>
      <c r="E794" s="1456"/>
      <c r="R794" s="1457"/>
      <c r="S794" s="1457"/>
      <c r="T794" s="1457"/>
      <c r="U794" s="1457"/>
      <c r="V794" s="1457"/>
      <c r="W794" s="1457"/>
      <c r="X794" s="1457"/>
      <c r="Y794" s="1457"/>
    </row>
    <row r="795" spans="1:25" x14ac:dyDescent="0.2">
      <c r="A795" s="2296"/>
      <c r="B795" s="2296"/>
      <c r="C795" s="2296"/>
      <c r="D795" s="2296"/>
      <c r="E795" s="1456"/>
      <c r="R795" s="1457"/>
      <c r="S795" s="1457"/>
      <c r="T795" s="1457"/>
      <c r="U795" s="1457"/>
      <c r="V795" s="1457"/>
      <c r="W795" s="1457"/>
      <c r="X795" s="1457"/>
      <c r="Y795" s="1457"/>
    </row>
    <row r="796" spans="1:25" x14ac:dyDescent="0.2">
      <c r="A796" s="2296"/>
      <c r="B796" s="2296"/>
      <c r="C796" s="2296"/>
      <c r="D796" s="2296"/>
      <c r="E796" s="1456"/>
      <c r="R796" s="1457"/>
      <c r="S796" s="1457"/>
      <c r="T796" s="1457"/>
      <c r="U796" s="1457"/>
      <c r="V796" s="1457"/>
      <c r="W796" s="1457"/>
      <c r="X796" s="1457"/>
      <c r="Y796" s="1457"/>
    </row>
    <row r="797" spans="1:25" x14ac:dyDescent="0.2">
      <c r="A797" s="2296"/>
      <c r="B797" s="2296"/>
      <c r="C797" s="2296"/>
      <c r="D797" s="2296"/>
      <c r="E797" s="1456"/>
      <c r="R797" s="1457"/>
      <c r="S797" s="1457"/>
      <c r="T797" s="1457"/>
      <c r="U797" s="1457"/>
      <c r="V797" s="1457"/>
      <c r="W797" s="1457"/>
      <c r="X797" s="1457"/>
      <c r="Y797" s="1457"/>
    </row>
    <row r="798" spans="1:25" x14ac:dyDescent="0.2">
      <c r="A798" s="2296"/>
      <c r="B798" s="2296"/>
      <c r="C798" s="2296"/>
      <c r="D798" s="2296"/>
      <c r="E798" s="1456"/>
      <c r="R798" s="1457"/>
      <c r="S798" s="1457"/>
      <c r="T798" s="1457"/>
      <c r="U798" s="1457"/>
      <c r="V798" s="1457"/>
      <c r="W798" s="1457"/>
      <c r="X798" s="1457"/>
      <c r="Y798" s="1457"/>
    </row>
    <row r="799" spans="1:25" x14ac:dyDescent="0.2">
      <c r="A799" s="2296"/>
      <c r="B799" s="2296"/>
      <c r="C799" s="2296"/>
      <c r="D799" s="2296"/>
      <c r="E799" s="1456"/>
      <c r="R799" s="1457"/>
      <c r="S799" s="1457"/>
      <c r="T799" s="1457"/>
      <c r="U799" s="1457"/>
      <c r="V799" s="1457"/>
      <c r="W799" s="1457"/>
      <c r="X799" s="1457"/>
      <c r="Y799" s="1457"/>
    </row>
    <row r="800" spans="1:25" x14ac:dyDescent="0.2">
      <c r="A800" s="2296"/>
      <c r="B800" s="2296"/>
      <c r="C800" s="2296"/>
      <c r="D800" s="2296"/>
      <c r="E800" s="1456"/>
      <c r="R800" s="1457"/>
      <c r="S800" s="1457"/>
      <c r="T800" s="1457"/>
      <c r="U800" s="1457"/>
      <c r="V800" s="1457"/>
      <c r="W800" s="1457"/>
      <c r="X800" s="1457"/>
      <c r="Y800" s="1457"/>
    </row>
    <row r="801" spans="1:25" x14ac:dyDescent="0.2">
      <c r="A801" s="2296"/>
      <c r="B801" s="2296"/>
      <c r="C801" s="2296"/>
      <c r="D801" s="2296"/>
      <c r="E801" s="1456"/>
      <c r="R801" s="1457"/>
      <c r="S801" s="1457"/>
      <c r="T801" s="1457"/>
      <c r="U801" s="1457"/>
      <c r="V801" s="1457"/>
      <c r="W801" s="1457"/>
      <c r="X801" s="1457"/>
      <c r="Y801" s="1457"/>
    </row>
    <row r="802" spans="1:25" x14ac:dyDescent="0.2">
      <c r="A802" s="2296"/>
      <c r="B802" s="2296"/>
      <c r="C802" s="2296"/>
      <c r="D802" s="2296"/>
      <c r="E802" s="1456"/>
      <c r="R802" s="1457"/>
      <c r="S802" s="1457"/>
      <c r="T802" s="1457"/>
      <c r="U802" s="1457"/>
      <c r="V802" s="1457"/>
      <c r="W802" s="1457"/>
      <c r="X802" s="1457"/>
      <c r="Y802" s="1457"/>
    </row>
    <row r="803" spans="1:25" x14ac:dyDescent="0.2">
      <c r="A803" s="2296"/>
      <c r="B803" s="2296"/>
      <c r="C803" s="2296"/>
      <c r="D803" s="2296"/>
      <c r="E803" s="1456"/>
      <c r="R803" s="1457"/>
      <c r="S803" s="1457"/>
      <c r="T803" s="1457"/>
      <c r="U803" s="1457"/>
      <c r="V803" s="1457"/>
      <c r="W803" s="1457"/>
      <c r="X803" s="1457"/>
      <c r="Y803" s="1457"/>
    </row>
    <row r="804" spans="1:25" x14ac:dyDescent="0.2">
      <c r="A804" s="2296"/>
      <c r="B804" s="2296"/>
      <c r="C804" s="2296"/>
      <c r="D804" s="2296"/>
      <c r="E804" s="1456"/>
      <c r="R804" s="1457"/>
      <c r="S804" s="1457"/>
      <c r="T804" s="1457"/>
      <c r="U804" s="1457"/>
      <c r="V804" s="1457"/>
      <c r="W804" s="1457"/>
      <c r="X804" s="1457"/>
      <c r="Y804" s="1457"/>
    </row>
    <row r="805" spans="1:25" x14ac:dyDescent="0.2">
      <c r="A805" s="2296"/>
      <c r="B805" s="2296"/>
      <c r="C805" s="2296"/>
      <c r="D805" s="2296"/>
      <c r="E805" s="1456"/>
      <c r="R805" s="1457"/>
      <c r="S805" s="1457"/>
      <c r="T805" s="1457"/>
      <c r="U805" s="1457"/>
      <c r="V805" s="1457"/>
      <c r="W805" s="1457"/>
      <c r="X805" s="1457"/>
      <c r="Y805" s="1457"/>
    </row>
    <row r="806" spans="1:25" x14ac:dyDescent="0.2">
      <c r="A806" s="2296"/>
      <c r="B806" s="2296"/>
      <c r="C806" s="2296"/>
      <c r="D806" s="2296"/>
      <c r="E806" s="1456"/>
      <c r="R806" s="1457"/>
      <c r="S806" s="1457"/>
      <c r="T806" s="1457"/>
      <c r="U806" s="1457"/>
      <c r="V806" s="1457"/>
      <c r="W806" s="1457"/>
      <c r="X806" s="1457"/>
      <c r="Y806" s="1457"/>
    </row>
    <row r="807" spans="1:25" x14ac:dyDescent="0.2">
      <c r="A807" s="2296"/>
      <c r="B807" s="2296"/>
      <c r="C807" s="2296"/>
      <c r="D807" s="2296"/>
      <c r="E807" s="1456"/>
      <c r="R807" s="1457"/>
      <c r="S807" s="1457"/>
      <c r="T807" s="1457"/>
      <c r="U807" s="1457"/>
      <c r="V807" s="1457"/>
      <c r="W807" s="1457"/>
      <c r="X807" s="1457"/>
      <c r="Y807" s="1457"/>
    </row>
    <row r="808" spans="1:25" x14ac:dyDescent="0.2">
      <c r="A808" s="2296"/>
      <c r="B808" s="2296"/>
      <c r="C808" s="2296"/>
      <c r="D808" s="2296"/>
      <c r="E808" s="1456"/>
      <c r="R808" s="1457"/>
      <c r="S808" s="1457"/>
      <c r="T808" s="1457"/>
      <c r="U808" s="1457"/>
      <c r="V808" s="1457"/>
      <c r="W808" s="1457"/>
      <c r="X808" s="1457"/>
      <c r="Y808" s="1457"/>
    </row>
    <row r="809" spans="1:25" x14ac:dyDescent="0.2">
      <c r="A809" s="2296"/>
      <c r="B809" s="2296"/>
      <c r="C809" s="2296"/>
      <c r="D809" s="2296"/>
      <c r="E809" s="1456"/>
      <c r="R809" s="1457"/>
      <c r="S809" s="1457"/>
      <c r="T809" s="1457"/>
      <c r="U809" s="1457"/>
      <c r="V809" s="1457"/>
      <c r="W809" s="1457"/>
      <c r="X809" s="1457"/>
      <c r="Y809" s="1457"/>
    </row>
    <row r="810" spans="1:25" x14ac:dyDescent="0.2">
      <c r="A810" s="2296"/>
      <c r="B810" s="2296"/>
      <c r="C810" s="2296"/>
      <c r="D810" s="2296"/>
      <c r="E810" s="1456"/>
      <c r="R810" s="1457"/>
      <c r="S810" s="1457"/>
      <c r="T810" s="1457"/>
      <c r="U810" s="1457"/>
      <c r="V810" s="1457"/>
      <c r="W810" s="1457"/>
      <c r="X810" s="1457"/>
      <c r="Y810" s="1457"/>
    </row>
    <row r="811" spans="1:25" x14ac:dyDescent="0.2">
      <c r="A811" s="2296"/>
      <c r="B811" s="2296"/>
      <c r="C811" s="2296"/>
      <c r="D811" s="2296"/>
      <c r="E811" s="1456"/>
      <c r="R811" s="1457"/>
      <c r="S811" s="1457"/>
      <c r="T811" s="1457"/>
      <c r="U811" s="1457"/>
      <c r="V811" s="1457"/>
      <c r="W811" s="1457"/>
      <c r="X811" s="1457"/>
      <c r="Y811" s="1457"/>
    </row>
    <row r="812" spans="1:25" x14ac:dyDescent="0.2">
      <c r="A812" s="2296"/>
      <c r="B812" s="2296"/>
      <c r="C812" s="2296"/>
      <c r="D812" s="2296"/>
      <c r="E812" s="1456"/>
      <c r="R812" s="1457"/>
      <c r="S812" s="1457"/>
      <c r="T812" s="1457"/>
      <c r="U812" s="1457"/>
      <c r="V812" s="1457"/>
      <c r="W812" s="1457"/>
      <c r="X812" s="1457"/>
      <c r="Y812" s="1457"/>
    </row>
    <row r="813" spans="1:25" x14ac:dyDescent="0.2">
      <c r="A813" s="2296"/>
      <c r="B813" s="2296"/>
      <c r="C813" s="2296"/>
      <c r="D813" s="2296"/>
      <c r="E813" s="1456"/>
      <c r="R813" s="1457"/>
      <c r="S813" s="1457"/>
      <c r="T813" s="1457"/>
      <c r="U813" s="1457"/>
      <c r="V813" s="1457"/>
      <c r="W813" s="1457"/>
      <c r="X813" s="1457"/>
      <c r="Y813" s="1457"/>
    </row>
    <row r="814" spans="1:25" x14ac:dyDescent="0.2">
      <c r="A814" s="2296"/>
      <c r="B814" s="2296"/>
      <c r="C814" s="2296"/>
      <c r="D814" s="2296"/>
      <c r="E814" s="1456"/>
      <c r="R814" s="1457"/>
      <c r="S814" s="1457"/>
      <c r="T814" s="1457"/>
      <c r="U814" s="1457"/>
      <c r="V814" s="1457"/>
      <c r="W814" s="1457"/>
      <c r="X814" s="1457"/>
      <c r="Y814" s="1457"/>
    </row>
    <row r="815" spans="1:25" x14ac:dyDescent="0.2">
      <c r="A815" s="2296"/>
      <c r="B815" s="2296"/>
      <c r="C815" s="2296"/>
      <c r="D815" s="2296"/>
      <c r="E815" s="1456"/>
      <c r="R815" s="1457"/>
      <c r="S815" s="1457"/>
      <c r="T815" s="1457"/>
      <c r="U815" s="1457"/>
      <c r="V815" s="1457"/>
      <c r="W815" s="1457"/>
      <c r="X815" s="1457"/>
      <c r="Y815" s="1457"/>
    </row>
    <row r="816" spans="1:25" x14ac:dyDescent="0.2">
      <c r="A816" s="2296"/>
      <c r="B816" s="2296"/>
      <c r="C816" s="2296"/>
      <c r="D816" s="2296"/>
      <c r="E816" s="1456"/>
      <c r="R816" s="1457"/>
      <c r="S816" s="1457"/>
      <c r="T816" s="1457"/>
      <c r="U816" s="1457"/>
      <c r="V816" s="1457"/>
      <c r="W816" s="1457"/>
      <c r="X816" s="1457"/>
      <c r="Y816" s="1457"/>
    </row>
    <row r="817" spans="1:25" x14ac:dyDescent="0.2">
      <c r="A817" s="2296"/>
      <c r="B817" s="2296"/>
      <c r="C817" s="2296"/>
      <c r="D817" s="2296"/>
      <c r="E817" s="1456"/>
      <c r="R817" s="1457"/>
      <c r="S817" s="1457"/>
      <c r="T817" s="1457"/>
      <c r="U817" s="1457"/>
      <c r="V817" s="1457"/>
      <c r="W817" s="1457"/>
      <c r="X817" s="1457"/>
      <c r="Y817" s="1457"/>
    </row>
    <row r="818" spans="1:25" x14ac:dyDescent="0.2">
      <c r="A818" s="2296"/>
      <c r="B818" s="2296"/>
      <c r="C818" s="2296"/>
      <c r="D818" s="2296"/>
      <c r="E818" s="1456"/>
      <c r="R818" s="1457"/>
      <c r="S818" s="1457"/>
      <c r="T818" s="1457"/>
      <c r="U818" s="1457"/>
      <c r="V818" s="1457"/>
      <c r="W818" s="1457"/>
      <c r="X818" s="1457"/>
      <c r="Y818" s="1457"/>
    </row>
    <row r="819" spans="1:25" x14ac:dyDescent="0.2">
      <c r="A819" s="2296"/>
      <c r="B819" s="2296"/>
      <c r="C819" s="2296"/>
      <c r="D819" s="2296"/>
      <c r="E819" s="1456"/>
      <c r="R819" s="1457"/>
      <c r="S819" s="1457"/>
      <c r="T819" s="1457"/>
      <c r="U819" s="1457"/>
      <c r="V819" s="1457"/>
      <c r="W819" s="1457"/>
      <c r="X819" s="1457"/>
      <c r="Y819" s="1457"/>
    </row>
    <row r="820" spans="1:25" x14ac:dyDescent="0.2">
      <c r="A820" s="2296"/>
      <c r="B820" s="2296"/>
      <c r="C820" s="2296"/>
      <c r="D820" s="2296"/>
      <c r="E820" s="1456"/>
      <c r="R820" s="1457"/>
      <c r="S820" s="1457"/>
      <c r="T820" s="1457"/>
      <c r="U820" s="1457"/>
      <c r="V820" s="1457"/>
      <c r="W820" s="1457"/>
      <c r="X820" s="1457"/>
      <c r="Y820" s="1457"/>
    </row>
    <row r="821" spans="1:25" x14ac:dyDescent="0.2">
      <c r="A821" s="2296"/>
      <c r="B821" s="2296"/>
      <c r="C821" s="2296"/>
      <c r="D821" s="2296"/>
      <c r="E821" s="1456"/>
      <c r="R821" s="1457"/>
      <c r="S821" s="1457"/>
      <c r="T821" s="1457"/>
      <c r="U821" s="1457"/>
      <c r="V821" s="1457"/>
      <c r="W821" s="1457"/>
      <c r="X821" s="1457"/>
      <c r="Y821" s="1457"/>
    </row>
    <row r="822" spans="1:25" x14ac:dyDescent="0.2">
      <c r="A822" s="2296"/>
      <c r="B822" s="2296"/>
      <c r="C822" s="2296"/>
      <c r="D822" s="2296"/>
      <c r="E822" s="1456"/>
      <c r="R822" s="1457"/>
      <c r="S822" s="1457"/>
      <c r="T822" s="1457"/>
      <c r="U822" s="1457"/>
      <c r="V822" s="1457"/>
      <c r="W822" s="1457"/>
      <c r="X822" s="1457"/>
      <c r="Y822" s="1457"/>
    </row>
    <row r="823" spans="1:25" x14ac:dyDescent="0.2">
      <c r="A823" s="2296"/>
      <c r="B823" s="2296"/>
      <c r="C823" s="2296"/>
      <c r="D823" s="2296"/>
      <c r="E823" s="1456"/>
      <c r="R823" s="1457"/>
      <c r="S823" s="1457"/>
      <c r="T823" s="1457"/>
      <c r="U823" s="1457"/>
      <c r="V823" s="1457"/>
      <c r="W823" s="1457"/>
      <c r="X823" s="1457"/>
      <c r="Y823" s="1457"/>
    </row>
    <row r="824" spans="1:25" x14ac:dyDescent="0.2">
      <c r="A824" s="2296"/>
      <c r="B824" s="2296"/>
      <c r="C824" s="2296"/>
      <c r="D824" s="2296"/>
      <c r="E824" s="1456"/>
      <c r="R824" s="1457"/>
      <c r="S824" s="1457"/>
      <c r="T824" s="1457"/>
      <c r="U824" s="1457"/>
      <c r="V824" s="1457"/>
      <c r="W824" s="1457"/>
      <c r="X824" s="1457"/>
      <c r="Y824" s="1457"/>
    </row>
    <row r="825" spans="1:25" x14ac:dyDescent="0.2">
      <c r="A825" s="2296"/>
      <c r="B825" s="2296"/>
      <c r="C825" s="2296"/>
      <c r="D825" s="2296"/>
      <c r="E825" s="1456"/>
      <c r="R825" s="1457"/>
      <c r="S825" s="1457"/>
      <c r="T825" s="1457"/>
      <c r="U825" s="1457"/>
      <c r="V825" s="1457"/>
      <c r="W825" s="1457"/>
      <c r="X825" s="1457"/>
      <c r="Y825" s="1457"/>
    </row>
    <row r="826" spans="1:25" x14ac:dyDescent="0.2">
      <c r="A826" s="2296"/>
      <c r="B826" s="2296"/>
      <c r="C826" s="2296"/>
      <c r="D826" s="2296"/>
      <c r="E826" s="1456"/>
      <c r="R826" s="1457"/>
      <c r="S826" s="1457"/>
      <c r="T826" s="1457"/>
      <c r="U826" s="1457"/>
      <c r="V826" s="1457"/>
      <c r="W826" s="1457"/>
      <c r="X826" s="1457"/>
      <c r="Y826" s="1457"/>
    </row>
    <row r="827" spans="1:25" x14ac:dyDescent="0.2">
      <c r="A827" s="2296"/>
      <c r="B827" s="2296"/>
      <c r="C827" s="2296"/>
      <c r="D827" s="2296"/>
      <c r="E827" s="1456"/>
      <c r="R827" s="1457"/>
      <c r="S827" s="1457"/>
      <c r="T827" s="1457"/>
      <c r="U827" s="1457"/>
      <c r="V827" s="1457"/>
      <c r="W827" s="1457"/>
      <c r="X827" s="1457"/>
      <c r="Y827" s="1457"/>
    </row>
    <row r="828" spans="1:25" x14ac:dyDescent="0.2">
      <c r="A828" s="2296"/>
      <c r="B828" s="2296"/>
      <c r="C828" s="2296"/>
      <c r="D828" s="2296"/>
      <c r="E828" s="1456"/>
      <c r="R828" s="1457"/>
      <c r="S828" s="1457"/>
      <c r="T828" s="1457"/>
      <c r="U828" s="1457"/>
      <c r="V828" s="1457"/>
      <c r="W828" s="1457"/>
      <c r="X828" s="1457"/>
      <c r="Y828" s="1457"/>
    </row>
    <row r="829" spans="1:25" x14ac:dyDescent="0.2">
      <c r="A829" s="2296"/>
      <c r="B829" s="2296"/>
      <c r="C829" s="2296"/>
      <c r="D829" s="2296"/>
      <c r="E829" s="1456"/>
      <c r="R829" s="1457"/>
      <c r="S829" s="1457"/>
      <c r="T829" s="1457"/>
      <c r="U829" s="1457"/>
      <c r="V829" s="1457"/>
      <c r="W829" s="1457"/>
      <c r="X829" s="1457"/>
      <c r="Y829" s="1457"/>
    </row>
    <row r="830" spans="1:25" x14ac:dyDescent="0.2">
      <c r="A830" s="2296"/>
      <c r="B830" s="2296"/>
      <c r="C830" s="2296"/>
      <c r="D830" s="2296"/>
      <c r="E830" s="1456"/>
      <c r="R830" s="1457"/>
      <c r="S830" s="1457"/>
      <c r="T830" s="1457"/>
      <c r="U830" s="1457"/>
      <c r="V830" s="1457"/>
      <c r="W830" s="1457"/>
      <c r="X830" s="1457"/>
      <c r="Y830" s="1457"/>
    </row>
    <row r="831" spans="1:25" x14ac:dyDescent="0.2">
      <c r="A831" s="2296"/>
      <c r="B831" s="2296"/>
      <c r="C831" s="2296"/>
      <c r="D831" s="2296"/>
      <c r="E831" s="1456"/>
      <c r="R831" s="1457"/>
      <c r="S831" s="1457"/>
      <c r="T831" s="1457"/>
      <c r="U831" s="1457"/>
      <c r="V831" s="1457"/>
      <c r="W831" s="1457"/>
      <c r="X831" s="1457"/>
      <c r="Y831" s="1457"/>
    </row>
    <row r="832" spans="1:25" x14ac:dyDescent="0.2">
      <c r="A832" s="2296"/>
      <c r="B832" s="2296"/>
      <c r="C832" s="2296"/>
      <c r="D832" s="2296"/>
      <c r="E832" s="1456"/>
      <c r="R832" s="1457"/>
      <c r="S832" s="1457"/>
      <c r="T832" s="1457"/>
      <c r="U832" s="1457"/>
      <c r="V832" s="1457"/>
      <c r="W832" s="1457"/>
      <c r="X832" s="1457"/>
      <c r="Y832" s="1457"/>
    </row>
    <row r="833" spans="1:25" x14ac:dyDescent="0.2">
      <c r="A833" s="2296"/>
      <c r="B833" s="2296"/>
      <c r="C833" s="2296"/>
      <c r="D833" s="2296"/>
      <c r="E833" s="1456"/>
      <c r="R833" s="1457"/>
      <c r="S833" s="1457"/>
      <c r="T833" s="1457"/>
      <c r="U833" s="1457"/>
      <c r="V833" s="1457"/>
      <c r="W833" s="1457"/>
      <c r="X833" s="1457"/>
      <c r="Y833" s="1457"/>
    </row>
    <row r="834" spans="1:25" x14ac:dyDescent="0.2">
      <c r="A834" s="2296"/>
      <c r="B834" s="2296"/>
      <c r="C834" s="2296"/>
      <c r="D834" s="2296"/>
      <c r="E834" s="1456"/>
      <c r="R834" s="1457"/>
      <c r="S834" s="1457"/>
      <c r="T834" s="1457"/>
      <c r="U834" s="1457"/>
      <c r="V834" s="1457"/>
      <c r="W834" s="1457"/>
      <c r="X834" s="1457"/>
      <c r="Y834" s="1457"/>
    </row>
    <row r="835" spans="1:25" x14ac:dyDescent="0.2">
      <c r="A835" s="2296"/>
      <c r="B835" s="2296"/>
      <c r="C835" s="2296"/>
      <c r="D835" s="2296"/>
      <c r="E835" s="1456"/>
      <c r="R835" s="1457"/>
      <c r="S835" s="1457"/>
      <c r="T835" s="1457"/>
      <c r="U835" s="1457"/>
      <c r="V835" s="1457"/>
      <c r="W835" s="1457"/>
      <c r="X835" s="1457"/>
      <c r="Y835" s="1457"/>
    </row>
    <row r="836" spans="1:25" x14ac:dyDescent="0.2">
      <c r="A836" s="2296"/>
      <c r="B836" s="2296"/>
      <c r="C836" s="2296"/>
      <c r="D836" s="2296"/>
      <c r="E836" s="1456"/>
      <c r="R836" s="1457"/>
      <c r="S836" s="1457"/>
      <c r="T836" s="1457"/>
      <c r="U836" s="1457"/>
      <c r="V836" s="1457"/>
      <c r="W836" s="1457"/>
      <c r="X836" s="1457"/>
      <c r="Y836" s="1457"/>
    </row>
    <row r="837" spans="1:25" x14ac:dyDescent="0.2">
      <c r="A837" s="2296"/>
      <c r="B837" s="2296"/>
      <c r="C837" s="2296"/>
      <c r="D837" s="2296"/>
      <c r="E837" s="1456"/>
      <c r="R837" s="1457"/>
      <c r="S837" s="1457"/>
      <c r="T837" s="1457"/>
      <c r="U837" s="1457"/>
      <c r="V837" s="1457"/>
      <c r="W837" s="1457"/>
      <c r="X837" s="1457"/>
      <c r="Y837" s="1457"/>
    </row>
    <row r="838" spans="1:25" x14ac:dyDescent="0.2">
      <c r="A838" s="2296"/>
      <c r="B838" s="2296"/>
      <c r="C838" s="2296"/>
      <c r="D838" s="2296"/>
      <c r="E838" s="1456"/>
      <c r="R838" s="1457"/>
      <c r="S838" s="1457"/>
      <c r="T838" s="1457"/>
      <c r="U838" s="1457"/>
      <c r="V838" s="1457"/>
      <c r="W838" s="1457"/>
      <c r="X838" s="1457"/>
      <c r="Y838" s="1457"/>
    </row>
    <row r="839" spans="1:25" x14ac:dyDescent="0.2">
      <c r="A839" s="2296"/>
      <c r="B839" s="2296"/>
      <c r="C839" s="2296"/>
      <c r="D839" s="2296"/>
      <c r="E839" s="1456"/>
      <c r="R839" s="1457"/>
      <c r="S839" s="1457"/>
      <c r="T839" s="1457"/>
      <c r="U839" s="1457"/>
      <c r="V839" s="1457"/>
      <c r="W839" s="1457"/>
      <c r="X839" s="1457"/>
      <c r="Y839" s="1457"/>
    </row>
    <row r="840" spans="1:25" x14ac:dyDescent="0.2">
      <c r="A840" s="2296"/>
      <c r="B840" s="2296"/>
      <c r="C840" s="2296"/>
      <c r="D840" s="2296"/>
      <c r="E840" s="1456"/>
      <c r="R840" s="1457"/>
      <c r="S840" s="1457"/>
      <c r="T840" s="1457"/>
      <c r="U840" s="1457"/>
      <c r="V840" s="1457"/>
      <c r="W840" s="1457"/>
      <c r="X840" s="1457"/>
      <c r="Y840" s="1457"/>
    </row>
    <row r="841" spans="1:25" x14ac:dyDescent="0.2">
      <c r="A841" s="2296"/>
      <c r="B841" s="2296"/>
      <c r="C841" s="2296"/>
      <c r="D841" s="2296"/>
      <c r="E841" s="1456"/>
      <c r="R841" s="1457"/>
      <c r="S841" s="1457"/>
      <c r="T841" s="1457"/>
      <c r="U841" s="1457"/>
      <c r="V841" s="1457"/>
      <c r="W841" s="1457"/>
      <c r="X841" s="1457"/>
      <c r="Y841" s="1457"/>
    </row>
    <row r="842" spans="1:25" x14ac:dyDescent="0.2">
      <c r="A842" s="2296"/>
      <c r="B842" s="2296"/>
      <c r="C842" s="2296"/>
      <c r="D842" s="2296"/>
      <c r="E842" s="1456"/>
      <c r="R842" s="1457"/>
      <c r="S842" s="1457"/>
      <c r="T842" s="1457"/>
      <c r="U842" s="1457"/>
      <c r="V842" s="1457"/>
      <c r="W842" s="1457"/>
      <c r="X842" s="1457"/>
      <c r="Y842" s="1457"/>
    </row>
    <row r="843" spans="1:25" x14ac:dyDescent="0.2">
      <c r="A843" s="2296"/>
      <c r="B843" s="2296"/>
      <c r="C843" s="2296"/>
      <c r="D843" s="2296"/>
      <c r="E843" s="1456"/>
      <c r="R843" s="1457"/>
      <c r="S843" s="1457"/>
      <c r="T843" s="1457"/>
      <c r="U843" s="1457"/>
      <c r="V843" s="1457"/>
      <c r="W843" s="1457"/>
      <c r="X843" s="1457"/>
      <c r="Y843" s="1457"/>
    </row>
    <row r="844" spans="1:25" x14ac:dyDescent="0.2">
      <c r="A844" s="2296"/>
      <c r="B844" s="2296"/>
      <c r="C844" s="2296"/>
      <c r="D844" s="2296"/>
      <c r="E844" s="1456"/>
      <c r="R844" s="1457"/>
      <c r="S844" s="1457"/>
      <c r="T844" s="1457"/>
      <c r="U844" s="1457"/>
      <c r="V844" s="1457"/>
      <c r="W844" s="1457"/>
      <c r="X844" s="1457"/>
      <c r="Y844" s="1457"/>
    </row>
    <row r="845" spans="1:25" x14ac:dyDescent="0.2">
      <c r="A845" s="2296"/>
      <c r="B845" s="2296"/>
      <c r="C845" s="2296"/>
      <c r="D845" s="2296"/>
      <c r="E845" s="1456"/>
      <c r="R845" s="1457"/>
      <c r="S845" s="1457"/>
      <c r="T845" s="1457"/>
      <c r="U845" s="1457"/>
      <c r="V845" s="1457"/>
      <c r="W845" s="1457"/>
      <c r="X845" s="1457"/>
      <c r="Y845" s="1457"/>
    </row>
    <row r="846" spans="1:25" x14ac:dyDescent="0.2">
      <c r="A846" s="2296"/>
      <c r="B846" s="2296"/>
      <c r="C846" s="2296"/>
      <c r="D846" s="2296"/>
      <c r="E846" s="1456"/>
      <c r="R846" s="1457"/>
      <c r="S846" s="1457"/>
      <c r="T846" s="1457"/>
      <c r="U846" s="1457"/>
      <c r="V846" s="1457"/>
      <c r="W846" s="1457"/>
      <c r="X846" s="1457"/>
      <c r="Y846" s="1457"/>
    </row>
    <row r="847" spans="1:25" x14ac:dyDescent="0.2">
      <c r="A847" s="2296"/>
      <c r="B847" s="2296"/>
      <c r="C847" s="2296"/>
      <c r="D847" s="2296"/>
      <c r="E847" s="1456"/>
      <c r="R847" s="1457"/>
      <c r="S847" s="1457"/>
      <c r="T847" s="1457"/>
      <c r="U847" s="1457"/>
      <c r="V847" s="1457"/>
      <c r="W847" s="1457"/>
      <c r="X847" s="1457"/>
      <c r="Y847" s="1457"/>
    </row>
    <row r="848" spans="1:25" x14ac:dyDescent="0.2">
      <c r="A848" s="2296"/>
      <c r="B848" s="2296"/>
      <c r="C848" s="2296"/>
      <c r="D848" s="2296"/>
      <c r="E848" s="1456"/>
      <c r="R848" s="1457"/>
      <c r="S848" s="1457"/>
      <c r="T848" s="1457"/>
      <c r="U848" s="1457"/>
      <c r="V848" s="1457"/>
      <c r="W848" s="1457"/>
      <c r="X848" s="1457"/>
      <c r="Y848" s="1457"/>
    </row>
    <row r="849" spans="1:25" x14ac:dyDescent="0.2">
      <c r="A849" s="2296"/>
      <c r="B849" s="2296"/>
      <c r="C849" s="2296"/>
      <c r="D849" s="2296"/>
      <c r="E849" s="1456"/>
      <c r="R849" s="1457"/>
      <c r="S849" s="1457"/>
      <c r="T849" s="1457"/>
      <c r="U849" s="1457"/>
      <c r="V849" s="1457"/>
      <c r="W849" s="1457"/>
      <c r="X849" s="1457"/>
      <c r="Y849" s="1457"/>
    </row>
    <row r="850" spans="1:25" x14ac:dyDescent="0.2">
      <c r="A850" s="2296"/>
      <c r="B850" s="2296"/>
      <c r="C850" s="2296"/>
      <c r="D850" s="2296"/>
      <c r="E850" s="1456"/>
      <c r="R850" s="1457"/>
      <c r="S850" s="1457"/>
      <c r="T850" s="1457"/>
      <c r="U850" s="1457"/>
      <c r="V850" s="1457"/>
      <c r="W850" s="1457"/>
      <c r="X850" s="1457"/>
      <c r="Y850" s="1457"/>
    </row>
    <row r="851" spans="1:25" x14ac:dyDescent="0.2">
      <c r="A851" s="2296"/>
      <c r="B851" s="2296"/>
      <c r="C851" s="2296"/>
      <c r="D851" s="2296"/>
      <c r="E851" s="1456"/>
      <c r="R851" s="1457"/>
      <c r="S851" s="1457"/>
      <c r="T851" s="1457"/>
      <c r="U851" s="1457"/>
      <c r="V851" s="1457"/>
      <c r="W851" s="1457"/>
      <c r="X851" s="1457"/>
      <c r="Y851" s="1457"/>
    </row>
    <row r="852" spans="1:25" x14ac:dyDescent="0.2">
      <c r="A852" s="2296"/>
      <c r="B852" s="2296"/>
      <c r="C852" s="2296"/>
      <c r="D852" s="2296"/>
      <c r="E852" s="1456"/>
      <c r="R852" s="1457"/>
      <c r="S852" s="1457"/>
      <c r="T852" s="1457"/>
      <c r="U852" s="1457"/>
      <c r="V852" s="1457"/>
      <c r="W852" s="1457"/>
      <c r="X852" s="1457"/>
      <c r="Y852" s="1457"/>
    </row>
    <row r="853" spans="1:25" x14ac:dyDescent="0.2">
      <c r="A853" s="2296"/>
      <c r="B853" s="2296"/>
      <c r="C853" s="2296"/>
      <c r="D853" s="2296"/>
      <c r="E853" s="1456"/>
      <c r="R853" s="1457"/>
      <c r="S853" s="1457"/>
      <c r="T853" s="1457"/>
      <c r="U853" s="1457"/>
      <c r="V853" s="1457"/>
      <c r="W853" s="1457"/>
      <c r="X853" s="1457"/>
      <c r="Y853" s="1457"/>
    </row>
    <row r="854" spans="1:25" x14ac:dyDescent="0.2">
      <c r="A854" s="2296"/>
      <c r="B854" s="2296"/>
      <c r="C854" s="2296"/>
      <c r="D854" s="2296"/>
      <c r="E854" s="1456"/>
      <c r="R854" s="1457"/>
      <c r="S854" s="1457"/>
      <c r="T854" s="1457"/>
      <c r="U854" s="1457"/>
      <c r="V854" s="1457"/>
      <c r="W854" s="1457"/>
      <c r="X854" s="1457"/>
      <c r="Y854" s="1457"/>
    </row>
    <row r="855" spans="1:25" x14ac:dyDescent="0.2">
      <c r="A855" s="2296"/>
      <c r="B855" s="2296"/>
      <c r="C855" s="2296"/>
      <c r="D855" s="2296"/>
      <c r="E855" s="1456"/>
      <c r="R855" s="1457"/>
      <c r="S855" s="1457"/>
      <c r="T855" s="1457"/>
      <c r="U855" s="1457"/>
      <c r="V855" s="1457"/>
      <c r="W855" s="1457"/>
      <c r="X855" s="1457"/>
      <c r="Y855" s="1457"/>
    </row>
    <row r="856" spans="1:25" x14ac:dyDescent="0.2">
      <c r="A856" s="2296"/>
      <c r="B856" s="2296"/>
      <c r="C856" s="2296"/>
      <c r="D856" s="2296"/>
      <c r="E856" s="1456"/>
      <c r="R856" s="1457"/>
      <c r="S856" s="1457"/>
      <c r="T856" s="1457"/>
      <c r="U856" s="1457"/>
      <c r="V856" s="1457"/>
      <c r="W856" s="1457"/>
      <c r="X856" s="1457"/>
      <c r="Y856" s="1457"/>
    </row>
    <row r="857" spans="1:25" x14ac:dyDescent="0.2">
      <c r="A857" s="2296"/>
      <c r="B857" s="2296"/>
      <c r="C857" s="2296"/>
      <c r="D857" s="2296"/>
      <c r="E857" s="1456"/>
      <c r="R857" s="1457"/>
      <c r="S857" s="1457"/>
      <c r="T857" s="1457"/>
      <c r="U857" s="1457"/>
      <c r="V857" s="1457"/>
      <c r="W857" s="1457"/>
      <c r="X857" s="1457"/>
      <c r="Y857" s="1457"/>
    </row>
    <row r="858" spans="1:25" x14ac:dyDescent="0.2">
      <c r="A858" s="2296"/>
      <c r="B858" s="2296"/>
      <c r="C858" s="2296"/>
      <c r="D858" s="2296"/>
      <c r="E858" s="1456"/>
      <c r="R858" s="1457"/>
      <c r="S858" s="1457"/>
      <c r="T858" s="1457"/>
      <c r="U858" s="1457"/>
      <c r="V858" s="1457"/>
      <c r="W858" s="1457"/>
      <c r="X858" s="1457"/>
      <c r="Y858" s="1457"/>
    </row>
    <row r="859" spans="1:25" x14ac:dyDescent="0.2">
      <c r="A859" s="2296"/>
      <c r="B859" s="2296"/>
      <c r="C859" s="2296"/>
      <c r="D859" s="2296"/>
      <c r="E859" s="1456"/>
      <c r="R859" s="1457"/>
      <c r="S859" s="1457"/>
      <c r="T859" s="1457"/>
      <c r="U859" s="1457"/>
      <c r="V859" s="1457"/>
      <c r="W859" s="1457"/>
      <c r="X859" s="1457"/>
      <c r="Y859" s="1457"/>
    </row>
    <row r="860" spans="1:25" x14ac:dyDescent="0.2">
      <c r="A860" s="2296"/>
      <c r="B860" s="2296"/>
      <c r="C860" s="2296"/>
      <c r="D860" s="2296"/>
      <c r="E860" s="1456"/>
      <c r="R860" s="1457"/>
      <c r="S860" s="1457"/>
      <c r="T860" s="1457"/>
      <c r="U860" s="1457"/>
      <c r="V860" s="1457"/>
      <c r="W860" s="1457"/>
      <c r="X860" s="1457"/>
      <c r="Y860" s="1457"/>
    </row>
    <row r="861" spans="1:25" x14ac:dyDescent="0.2">
      <c r="A861" s="2296"/>
      <c r="B861" s="2296"/>
      <c r="C861" s="2296"/>
      <c r="D861" s="2296"/>
      <c r="E861" s="1456"/>
      <c r="R861" s="1457"/>
      <c r="S861" s="1457"/>
      <c r="T861" s="1457"/>
      <c r="U861" s="1457"/>
      <c r="V861" s="1457"/>
      <c r="W861" s="1457"/>
      <c r="X861" s="1457"/>
      <c r="Y861" s="1457"/>
    </row>
    <row r="862" spans="1:25" x14ac:dyDescent="0.2">
      <c r="A862" s="2296"/>
      <c r="B862" s="2296"/>
      <c r="C862" s="2296"/>
      <c r="D862" s="2296"/>
      <c r="E862" s="1456"/>
      <c r="R862" s="1457"/>
      <c r="S862" s="1457"/>
      <c r="T862" s="1457"/>
      <c r="U862" s="1457"/>
      <c r="V862" s="1457"/>
      <c r="W862" s="1457"/>
      <c r="X862" s="1457"/>
      <c r="Y862" s="1457"/>
    </row>
    <row r="863" spans="1:25" x14ac:dyDescent="0.2">
      <c r="A863" s="2296"/>
      <c r="B863" s="2296"/>
      <c r="C863" s="2296"/>
      <c r="D863" s="2296"/>
      <c r="E863" s="1456"/>
      <c r="R863" s="1457"/>
      <c r="S863" s="1457"/>
      <c r="T863" s="1457"/>
      <c r="U863" s="1457"/>
      <c r="V863" s="1457"/>
      <c r="W863" s="1457"/>
      <c r="X863" s="1457"/>
      <c r="Y863" s="1457"/>
    </row>
    <row r="864" spans="1:25" x14ac:dyDescent="0.2">
      <c r="A864" s="2296"/>
      <c r="B864" s="2296"/>
      <c r="C864" s="2296"/>
      <c r="D864" s="2296"/>
      <c r="E864" s="1456"/>
      <c r="R864" s="1457"/>
      <c r="S864" s="1457"/>
      <c r="T864" s="1457"/>
      <c r="U864" s="1457"/>
      <c r="V864" s="1457"/>
      <c r="W864" s="1457"/>
      <c r="X864" s="1457"/>
      <c r="Y864" s="1457"/>
    </row>
    <row r="865" spans="1:25" x14ac:dyDescent="0.2">
      <c r="A865" s="2296"/>
      <c r="B865" s="2296"/>
      <c r="C865" s="2296"/>
      <c r="D865" s="2296"/>
      <c r="E865" s="1456"/>
      <c r="R865" s="1457"/>
      <c r="S865" s="1457"/>
      <c r="T865" s="1457"/>
      <c r="U865" s="1457"/>
      <c r="V865" s="1457"/>
      <c r="W865" s="1457"/>
      <c r="X865" s="1457"/>
      <c r="Y865" s="1457"/>
    </row>
    <row r="866" spans="1:25" x14ac:dyDescent="0.2">
      <c r="A866" s="2296"/>
      <c r="B866" s="2296"/>
      <c r="C866" s="2296"/>
      <c r="D866" s="2296"/>
      <c r="E866" s="1456"/>
      <c r="R866" s="1457"/>
      <c r="S866" s="1457"/>
      <c r="T866" s="1457"/>
      <c r="U866" s="1457"/>
      <c r="V866" s="1457"/>
      <c r="W866" s="1457"/>
      <c r="X866" s="1457"/>
      <c r="Y866" s="1457"/>
    </row>
    <row r="867" spans="1:25" x14ac:dyDescent="0.2">
      <c r="A867" s="2296"/>
      <c r="B867" s="2296"/>
      <c r="C867" s="2296"/>
      <c r="D867" s="2296"/>
      <c r="E867" s="1456"/>
      <c r="R867" s="1457"/>
      <c r="S867" s="1457"/>
      <c r="T867" s="1457"/>
      <c r="U867" s="1457"/>
      <c r="V867" s="1457"/>
      <c r="W867" s="1457"/>
      <c r="X867" s="1457"/>
      <c r="Y867" s="1457"/>
    </row>
    <row r="868" spans="1:25" x14ac:dyDescent="0.2">
      <c r="A868" s="2296"/>
      <c r="B868" s="2296"/>
      <c r="C868" s="2296"/>
      <c r="D868" s="2296"/>
      <c r="E868" s="1456"/>
      <c r="R868" s="1457"/>
      <c r="S868" s="1457"/>
      <c r="T868" s="1457"/>
      <c r="U868" s="1457"/>
      <c r="V868" s="1457"/>
      <c r="W868" s="1457"/>
      <c r="X868" s="1457"/>
      <c r="Y868" s="1457"/>
    </row>
    <row r="869" spans="1:25" x14ac:dyDescent="0.2">
      <c r="A869" s="2296"/>
      <c r="B869" s="2296"/>
      <c r="C869" s="2296"/>
      <c r="D869" s="2296"/>
      <c r="E869" s="1456"/>
      <c r="R869" s="1457"/>
      <c r="S869" s="1457"/>
      <c r="T869" s="1457"/>
      <c r="U869" s="1457"/>
      <c r="V869" s="1457"/>
      <c r="W869" s="1457"/>
      <c r="X869" s="1457"/>
      <c r="Y869" s="1457"/>
    </row>
    <row r="870" spans="1:25" x14ac:dyDescent="0.2">
      <c r="A870" s="2296"/>
      <c r="B870" s="2296"/>
      <c r="C870" s="2296"/>
      <c r="D870" s="2296"/>
      <c r="E870" s="1456"/>
      <c r="R870" s="1457"/>
      <c r="S870" s="1457"/>
      <c r="T870" s="1457"/>
      <c r="U870" s="1457"/>
      <c r="V870" s="1457"/>
      <c r="W870" s="1457"/>
      <c r="X870" s="1457"/>
      <c r="Y870" s="1457"/>
    </row>
    <row r="871" spans="1:25" x14ac:dyDescent="0.2">
      <c r="A871" s="2296"/>
      <c r="B871" s="2296"/>
      <c r="C871" s="2296"/>
      <c r="D871" s="2296"/>
      <c r="E871" s="1456"/>
      <c r="R871" s="1457"/>
      <c r="S871" s="1457"/>
      <c r="T871" s="1457"/>
      <c r="U871" s="1457"/>
      <c r="V871" s="1457"/>
      <c r="W871" s="1457"/>
      <c r="X871" s="1457"/>
      <c r="Y871" s="1457"/>
    </row>
    <row r="872" spans="1:25" x14ac:dyDescent="0.2">
      <c r="A872" s="2296"/>
      <c r="B872" s="2296"/>
      <c r="C872" s="2296"/>
      <c r="D872" s="2296"/>
      <c r="E872" s="1456"/>
      <c r="R872" s="1457"/>
      <c r="S872" s="1457"/>
      <c r="T872" s="1457"/>
      <c r="U872" s="1457"/>
      <c r="V872" s="1457"/>
      <c r="W872" s="1457"/>
      <c r="X872" s="1457"/>
      <c r="Y872" s="1457"/>
    </row>
    <row r="873" spans="1:25" x14ac:dyDescent="0.2">
      <c r="A873" s="2296"/>
      <c r="B873" s="2296"/>
      <c r="C873" s="2296"/>
      <c r="D873" s="2296"/>
      <c r="E873" s="1456"/>
      <c r="R873" s="1457"/>
      <c r="S873" s="1457"/>
      <c r="T873" s="1457"/>
      <c r="U873" s="1457"/>
      <c r="V873" s="1457"/>
      <c r="W873" s="1457"/>
      <c r="X873" s="1457"/>
      <c r="Y873" s="1457"/>
    </row>
    <row r="874" spans="1:25" x14ac:dyDescent="0.2">
      <c r="A874" s="2296"/>
      <c r="B874" s="2296"/>
      <c r="C874" s="2296"/>
      <c r="D874" s="2296"/>
      <c r="E874" s="1456"/>
      <c r="R874" s="1457"/>
      <c r="S874" s="1457"/>
      <c r="T874" s="1457"/>
      <c r="U874" s="1457"/>
      <c r="V874" s="1457"/>
      <c r="W874" s="1457"/>
      <c r="X874" s="1457"/>
      <c r="Y874" s="1457"/>
    </row>
    <row r="875" spans="1:25" x14ac:dyDescent="0.2">
      <c r="A875" s="2296"/>
      <c r="B875" s="2296"/>
      <c r="C875" s="2296"/>
      <c r="D875" s="2296"/>
      <c r="E875" s="1456"/>
      <c r="R875" s="1457"/>
      <c r="S875" s="1457"/>
      <c r="T875" s="1457"/>
      <c r="U875" s="1457"/>
      <c r="V875" s="1457"/>
      <c r="W875" s="1457"/>
      <c r="X875" s="1457"/>
      <c r="Y875" s="1457"/>
    </row>
    <row r="876" spans="1:25" x14ac:dyDescent="0.2">
      <c r="A876" s="2296"/>
      <c r="B876" s="2296"/>
      <c r="C876" s="2296"/>
      <c r="D876" s="2296"/>
      <c r="E876" s="1456"/>
      <c r="R876" s="1457"/>
      <c r="S876" s="1457"/>
      <c r="T876" s="1457"/>
      <c r="U876" s="1457"/>
      <c r="V876" s="1457"/>
      <c r="W876" s="1457"/>
      <c r="X876" s="1457"/>
      <c r="Y876" s="1457"/>
    </row>
    <row r="877" spans="1:25" x14ac:dyDescent="0.2">
      <c r="A877" s="2296"/>
      <c r="B877" s="2296"/>
      <c r="C877" s="2296"/>
      <c r="D877" s="2296"/>
      <c r="E877" s="1456"/>
      <c r="R877" s="1457"/>
      <c r="S877" s="1457"/>
      <c r="T877" s="1457"/>
      <c r="U877" s="1457"/>
      <c r="V877" s="1457"/>
      <c r="W877" s="1457"/>
      <c r="X877" s="1457"/>
      <c r="Y877" s="1457"/>
    </row>
    <row r="878" spans="1:25" x14ac:dyDescent="0.2">
      <c r="A878" s="2296"/>
      <c r="B878" s="2296"/>
      <c r="C878" s="2296"/>
      <c r="D878" s="2296"/>
      <c r="E878" s="1456"/>
      <c r="R878" s="1457"/>
      <c r="S878" s="1457"/>
      <c r="T878" s="1457"/>
      <c r="U878" s="1457"/>
      <c r="V878" s="1457"/>
      <c r="W878" s="1457"/>
      <c r="X878" s="1457"/>
      <c r="Y878" s="1457"/>
    </row>
    <row r="879" spans="1:25" x14ac:dyDescent="0.2">
      <c r="A879" s="2296"/>
      <c r="B879" s="2296"/>
      <c r="C879" s="2296"/>
      <c r="D879" s="2296"/>
      <c r="E879" s="1456"/>
      <c r="R879" s="1457"/>
      <c r="S879" s="1457"/>
      <c r="T879" s="1457"/>
      <c r="U879" s="1457"/>
      <c r="V879" s="1457"/>
      <c r="W879" s="1457"/>
      <c r="X879" s="1457"/>
      <c r="Y879" s="1457"/>
    </row>
    <row r="880" spans="1:25" x14ac:dyDescent="0.2">
      <c r="A880" s="2296"/>
      <c r="B880" s="2296"/>
      <c r="C880" s="2296"/>
      <c r="D880" s="2296"/>
      <c r="E880" s="1456"/>
      <c r="R880" s="1457"/>
      <c r="S880" s="1457"/>
      <c r="T880" s="1457"/>
      <c r="U880" s="1457"/>
      <c r="V880" s="1457"/>
      <c r="W880" s="1457"/>
      <c r="X880" s="1457"/>
      <c r="Y880" s="1457"/>
    </row>
    <row r="881" spans="1:25" x14ac:dyDescent="0.2">
      <c r="A881" s="2296"/>
      <c r="B881" s="2296"/>
      <c r="C881" s="2296"/>
      <c r="D881" s="2296"/>
      <c r="E881" s="1456"/>
      <c r="R881" s="1457"/>
      <c r="S881" s="1457"/>
      <c r="T881" s="1457"/>
      <c r="U881" s="1457"/>
      <c r="V881" s="1457"/>
      <c r="W881" s="1457"/>
      <c r="X881" s="1457"/>
      <c r="Y881" s="1457"/>
    </row>
    <row r="882" spans="1:25" x14ac:dyDescent="0.2">
      <c r="A882" s="2296"/>
      <c r="B882" s="2296"/>
      <c r="C882" s="2296"/>
      <c r="D882" s="2296"/>
      <c r="E882" s="1456"/>
      <c r="R882" s="1457"/>
      <c r="S882" s="1457"/>
      <c r="T882" s="1457"/>
      <c r="U882" s="1457"/>
      <c r="V882" s="1457"/>
      <c r="W882" s="1457"/>
      <c r="X882" s="1457"/>
      <c r="Y882" s="1457"/>
    </row>
    <row r="883" spans="1:25" x14ac:dyDescent="0.2">
      <c r="A883" s="2296"/>
      <c r="B883" s="2296"/>
      <c r="C883" s="2296"/>
      <c r="D883" s="2296"/>
      <c r="E883" s="1456"/>
      <c r="R883" s="1457"/>
      <c r="S883" s="1457"/>
      <c r="T883" s="1457"/>
      <c r="U883" s="1457"/>
      <c r="V883" s="1457"/>
      <c r="W883" s="1457"/>
      <c r="X883" s="1457"/>
      <c r="Y883" s="1457"/>
    </row>
    <row r="884" spans="1:25" x14ac:dyDescent="0.2">
      <c r="A884" s="2296"/>
      <c r="B884" s="2296"/>
      <c r="C884" s="2296"/>
      <c r="D884" s="2296"/>
      <c r="E884" s="1456"/>
      <c r="R884" s="1457"/>
      <c r="S884" s="1457"/>
      <c r="T884" s="1457"/>
      <c r="U884" s="1457"/>
      <c r="V884" s="1457"/>
      <c r="W884" s="1457"/>
      <c r="X884" s="1457"/>
      <c r="Y884" s="1457"/>
    </row>
    <row r="885" spans="1:25" x14ac:dyDescent="0.2">
      <c r="A885" s="2296"/>
      <c r="B885" s="2296"/>
      <c r="C885" s="2296"/>
      <c r="D885" s="2296"/>
      <c r="E885" s="1456"/>
      <c r="R885" s="1457"/>
      <c r="S885" s="1457"/>
      <c r="T885" s="1457"/>
      <c r="U885" s="1457"/>
      <c r="V885" s="1457"/>
      <c r="W885" s="1457"/>
      <c r="X885" s="1457"/>
      <c r="Y885" s="1457"/>
    </row>
    <row r="886" spans="1:25" x14ac:dyDescent="0.2">
      <c r="A886" s="2296"/>
      <c r="B886" s="2296"/>
      <c r="C886" s="2296"/>
      <c r="D886" s="2296"/>
      <c r="E886" s="1456"/>
      <c r="R886" s="1457"/>
      <c r="S886" s="1457"/>
      <c r="T886" s="1457"/>
      <c r="U886" s="1457"/>
      <c r="V886" s="1457"/>
      <c r="W886" s="1457"/>
      <c r="X886" s="1457"/>
      <c r="Y886" s="1457"/>
    </row>
    <row r="887" spans="1:25" x14ac:dyDescent="0.2">
      <c r="A887" s="2296"/>
      <c r="B887" s="2296"/>
      <c r="C887" s="2296"/>
      <c r="D887" s="2296"/>
      <c r="E887" s="1456"/>
      <c r="R887" s="1457"/>
      <c r="S887" s="1457"/>
      <c r="T887" s="1457"/>
      <c r="U887" s="1457"/>
      <c r="V887" s="1457"/>
      <c r="W887" s="1457"/>
      <c r="X887" s="1457"/>
      <c r="Y887" s="1457"/>
    </row>
    <row r="888" spans="1:25" x14ac:dyDescent="0.2">
      <c r="A888" s="2296"/>
      <c r="B888" s="2296"/>
      <c r="C888" s="2296"/>
      <c r="D888" s="2296"/>
      <c r="E888" s="1456"/>
      <c r="R888" s="1457"/>
      <c r="S888" s="1457"/>
      <c r="T888" s="1457"/>
      <c r="U888" s="1457"/>
      <c r="V888" s="1457"/>
      <c r="W888" s="1457"/>
      <c r="X888" s="1457"/>
      <c r="Y888" s="1457"/>
    </row>
    <row r="889" spans="1:25" x14ac:dyDescent="0.2">
      <c r="A889" s="2296"/>
      <c r="B889" s="2296"/>
      <c r="C889" s="2296"/>
      <c r="D889" s="2296"/>
      <c r="E889" s="1456"/>
      <c r="R889" s="1457"/>
      <c r="S889" s="1457"/>
      <c r="T889" s="1457"/>
      <c r="U889" s="1457"/>
      <c r="V889" s="1457"/>
      <c r="W889" s="1457"/>
      <c r="X889" s="1457"/>
      <c r="Y889" s="1457"/>
    </row>
    <row r="890" spans="1:25" x14ac:dyDescent="0.2">
      <c r="A890" s="2296"/>
      <c r="B890" s="2296"/>
      <c r="C890" s="2296"/>
      <c r="D890" s="2296"/>
      <c r="E890" s="1456"/>
      <c r="R890" s="1457"/>
      <c r="S890" s="1457"/>
      <c r="T890" s="1457"/>
      <c r="U890" s="1457"/>
      <c r="V890" s="1457"/>
      <c r="W890" s="1457"/>
      <c r="X890" s="1457"/>
      <c r="Y890" s="1457"/>
    </row>
    <row r="891" spans="1:25" x14ac:dyDescent="0.2">
      <c r="A891" s="2296"/>
      <c r="B891" s="2296"/>
      <c r="C891" s="2296"/>
      <c r="D891" s="2296"/>
      <c r="E891" s="1456"/>
      <c r="R891" s="1457"/>
      <c r="S891" s="1457"/>
      <c r="T891" s="1457"/>
      <c r="U891" s="1457"/>
      <c r="V891" s="1457"/>
      <c r="W891" s="1457"/>
      <c r="X891" s="1457"/>
      <c r="Y891" s="1457"/>
    </row>
    <row r="892" spans="1:25" x14ac:dyDescent="0.2">
      <c r="A892" s="2296"/>
      <c r="B892" s="2296"/>
      <c r="C892" s="2296"/>
      <c r="D892" s="2296"/>
      <c r="E892" s="1456"/>
      <c r="R892" s="1457"/>
      <c r="S892" s="1457"/>
      <c r="T892" s="1457"/>
      <c r="U892" s="1457"/>
      <c r="V892" s="1457"/>
      <c r="W892" s="1457"/>
      <c r="X892" s="1457"/>
      <c r="Y892" s="1457"/>
    </row>
    <row r="893" spans="1:25" x14ac:dyDescent="0.2">
      <c r="A893" s="2296"/>
      <c r="B893" s="2296"/>
      <c r="C893" s="2296"/>
      <c r="D893" s="2296"/>
      <c r="E893" s="1456"/>
      <c r="R893" s="1457"/>
      <c r="S893" s="1457"/>
      <c r="T893" s="1457"/>
      <c r="U893" s="1457"/>
      <c r="V893" s="1457"/>
      <c r="W893" s="1457"/>
      <c r="X893" s="1457"/>
      <c r="Y893" s="1457"/>
    </row>
    <row r="894" spans="1:25" x14ac:dyDescent="0.2">
      <c r="A894" s="2296"/>
      <c r="B894" s="2296"/>
      <c r="C894" s="2296"/>
      <c r="D894" s="2296"/>
      <c r="E894" s="1456"/>
      <c r="R894" s="1457"/>
      <c r="S894" s="1457"/>
      <c r="T894" s="1457"/>
      <c r="U894" s="1457"/>
      <c r="V894" s="1457"/>
      <c r="W894" s="1457"/>
      <c r="X894" s="1457"/>
      <c r="Y894" s="1457"/>
    </row>
    <row r="895" spans="1:25" x14ac:dyDescent="0.2">
      <c r="A895" s="2296"/>
      <c r="B895" s="2296"/>
      <c r="C895" s="2296"/>
      <c r="D895" s="2296"/>
      <c r="E895" s="1456"/>
      <c r="R895" s="1457"/>
      <c r="S895" s="1457"/>
      <c r="T895" s="1457"/>
      <c r="U895" s="1457"/>
      <c r="V895" s="1457"/>
      <c r="W895" s="1457"/>
      <c r="X895" s="1457"/>
      <c r="Y895" s="1457"/>
    </row>
    <row r="896" spans="1:25" x14ac:dyDescent="0.2">
      <c r="A896" s="2296"/>
      <c r="B896" s="2296"/>
      <c r="C896" s="2296"/>
      <c r="D896" s="2296"/>
      <c r="E896" s="1456"/>
      <c r="R896" s="1457"/>
      <c r="S896" s="1457"/>
      <c r="T896" s="1457"/>
      <c r="U896" s="1457"/>
      <c r="V896" s="1457"/>
      <c r="W896" s="1457"/>
      <c r="X896" s="1457"/>
      <c r="Y896" s="1457"/>
    </row>
    <row r="897" spans="1:25" x14ac:dyDescent="0.2">
      <c r="A897" s="2296"/>
      <c r="B897" s="2296"/>
      <c r="C897" s="2296"/>
      <c r="D897" s="2296"/>
      <c r="E897" s="1456"/>
      <c r="R897" s="1457"/>
      <c r="S897" s="1457"/>
      <c r="T897" s="1457"/>
      <c r="U897" s="1457"/>
      <c r="V897" s="1457"/>
      <c r="W897" s="1457"/>
      <c r="X897" s="1457"/>
      <c r="Y897" s="1457"/>
    </row>
    <row r="898" spans="1:25" x14ac:dyDescent="0.2">
      <c r="A898" s="2296"/>
      <c r="B898" s="2296"/>
      <c r="C898" s="2296"/>
      <c r="D898" s="2296"/>
      <c r="E898" s="1456"/>
      <c r="R898" s="1457"/>
      <c r="S898" s="1457"/>
      <c r="T898" s="1457"/>
      <c r="U898" s="1457"/>
      <c r="V898" s="1457"/>
      <c r="W898" s="1457"/>
      <c r="X898" s="1457"/>
      <c r="Y898" s="1457"/>
    </row>
    <row r="899" spans="1:25" x14ac:dyDescent="0.2">
      <c r="A899" s="2296"/>
      <c r="B899" s="2296"/>
      <c r="C899" s="2296"/>
      <c r="D899" s="2296"/>
      <c r="E899" s="1456"/>
      <c r="R899" s="1457"/>
      <c r="S899" s="1457"/>
      <c r="T899" s="1457"/>
      <c r="U899" s="1457"/>
      <c r="V899" s="1457"/>
      <c r="W899" s="1457"/>
      <c r="X899" s="1457"/>
      <c r="Y899" s="1457"/>
    </row>
    <row r="900" spans="1:25" x14ac:dyDescent="0.2">
      <c r="A900" s="2296"/>
      <c r="B900" s="2296"/>
      <c r="C900" s="2296"/>
      <c r="D900" s="2296"/>
      <c r="E900" s="1456"/>
      <c r="R900" s="1457"/>
      <c r="S900" s="1457"/>
      <c r="T900" s="1457"/>
      <c r="U900" s="1457"/>
      <c r="V900" s="1457"/>
      <c r="W900" s="1457"/>
      <c r="X900" s="1457"/>
      <c r="Y900" s="1457"/>
    </row>
    <row r="901" spans="1:25" x14ac:dyDescent="0.2">
      <c r="A901" s="2296"/>
      <c r="B901" s="2296"/>
      <c r="C901" s="2296"/>
      <c r="D901" s="2296"/>
      <c r="E901" s="1456"/>
      <c r="R901" s="1457"/>
      <c r="S901" s="1457"/>
      <c r="T901" s="1457"/>
      <c r="U901" s="1457"/>
      <c r="V901" s="1457"/>
      <c r="W901" s="1457"/>
      <c r="X901" s="1457"/>
      <c r="Y901" s="1457"/>
    </row>
    <row r="902" spans="1:25" x14ac:dyDescent="0.2">
      <c r="A902" s="2296"/>
      <c r="B902" s="2296"/>
      <c r="C902" s="2296"/>
      <c r="D902" s="2296"/>
      <c r="E902" s="1456"/>
      <c r="R902" s="1457"/>
      <c r="S902" s="1457"/>
      <c r="T902" s="1457"/>
      <c r="U902" s="1457"/>
      <c r="V902" s="1457"/>
      <c r="W902" s="1457"/>
      <c r="X902" s="1457"/>
      <c r="Y902" s="1457"/>
    </row>
    <row r="903" spans="1:25" x14ac:dyDescent="0.2">
      <c r="A903" s="2296"/>
      <c r="B903" s="2296"/>
      <c r="C903" s="2296"/>
      <c r="D903" s="2296"/>
      <c r="E903" s="1456"/>
      <c r="R903" s="1457"/>
      <c r="S903" s="1457"/>
      <c r="T903" s="1457"/>
      <c r="U903" s="1457"/>
      <c r="V903" s="1457"/>
      <c r="W903" s="1457"/>
      <c r="X903" s="1457"/>
      <c r="Y903" s="1457"/>
    </row>
    <row r="904" spans="1:25" x14ac:dyDescent="0.2">
      <c r="A904" s="2296"/>
      <c r="B904" s="2296"/>
      <c r="C904" s="2296"/>
      <c r="D904" s="2296"/>
      <c r="E904" s="1456"/>
      <c r="R904" s="1457"/>
      <c r="S904" s="1457"/>
      <c r="T904" s="1457"/>
      <c r="U904" s="1457"/>
      <c r="V904" s="1457"/>
      <c r="W904" s="1457"/>
      <c r="X904" s="1457"/>
      <c r="Y904" s="1457"/>
    </row>
    <row r="905" spans="1:25" x14ac:dyDescent="0.2">
      <c r="A905" s="2296"/>
      <c r="B905" s="2296"/>
      <c r="C905" s="2296"/>
      <c r="D905" s="2296"/>
      <c r="E905" s="1456"/>
      <c r="R905" s="1457"/>
      <c r="S905" s="1457"/>
      <c r="T905" s="1457"/>
      <c r="U905" s="1457"/>
      <c r="V905" s="1457"/>
      <c r="W905" s="1457"/>
      <c r="X905" s="1457"/>
      <c r="Y905" s="1457"/>
    </row>
    <row r="906" spans="1:25" x14ac:dyDescent="0.2">
      <c r="A906" s="2296"/>
      <c r="B906" s="2296"/>
      <c r="C906" s="2296"/>
      <c r="D906" s="2296"/>
      <c r="E906" s="1456"/>
      <c r="R906" s="1457"/>
      <c r="S906" s="1457"/>
      <c r="T906" s="1457"/>
      <c r="U906" s="1457"/>
      <c r="V906" s="1457"/>
      <c r="W906" s="1457"/>
      <c r="X906" s="1457"/>
      <c r="Y906" s="1457"/>
    </row>
    <row r="907" spans="1:25" x14ac:dyDescent="0.2">
      <c r="A907" s="2296"/>
      <c r="B907" s="2296"/>
      <c r="C907" s="2296"/>
      <c r="D907" s="2296"/>
      <c r="E907" s="1456"/>
      <c r="R907" s="1457"/>
      <c r="S907" s="1457"/>
      <c r="T907" s="1457"/>
      <c r="U907" s="1457"/>
      <c r="V907" s="1457"/>
      <c r="W907" s="1457"/>
      <c r="X907" s="1457"/>
      <c r="Y907" s="1457"/>
    </row>
    <row r="908" spans="1:25" x14ac:dyDescent="0.2">
      <c r="A908" s="2296"/>
      <c r="B908" s="2296"/>
      <c r="C908" s="2296"/>
      <c r="D908" s="2296"/>
      <c r="E908" s="1456"/>
      <c r="R908" s="1457"/>
      <c r="S908" s="1457"/>
      <c r="T908" s="1457"/>
      <c r="U908" s="1457"/>
      <c r="V908" s="1457"/>
      <c r="W908" s="1457"/>
      <c r="X908" s="1457"/>
      <c r="Y908" s="1457"/>
    </row>
    <row r="909" spans="1:25" x14ac:dyDescent="0.2">
      <c r="A909" s="2296"/>
      <c r="B909" s="2296"/>
      <c r="C909" s="2296"/>
      <c r="D909" s="2296"/>
      <c r="E909" s="1456"/>
      <c r="R909" s="1457"/>
      <c r="S909" s="1457"/>
      <c r="T909" s="1457"/>
      <c r="U909" s="1457"/>
      <c r="V909" s="1457"/>
      <c r="W909" s="1457"/>
      <c r="X909" s="1457"/>
      <c r="Y909" s="1457"/>
    </row>
    <row r="910" spans="1:25" x14ac:dyDescent="0.2">
      <c r="A910" s="2296"/>
      <c r="B910" s="2296"/>
      <c r="C910" s="2296"/>
      <c r="D910" s="2296"/>
      <c r="E910" s="1456"/>
      <c r="R910" s="1457"/>
      <c r="S910" s="1457"/>
      <c r="T910" s="1457"/>
      <c r="U910" s="1457"/>
      <c r="V910" s="1457"/>
      <c r="W910" s="1457"/>
      <c r="X910" s="1457"/>
      <c r="Y910" s="1457"/>
    </row>
    <row r="911" spans="1:25" x14ac:dyDescent="0.2">
      <c r="A911" s="2296"/>
      <c r="B911" s="2296"/>
      <c r="C911" s="2296"/>
      <c r="D911" s="2296"/>
      <c r="E911" s="1456"/>
      <c r="R911" s="1457"/>
      <c r="S911" s="1457"/>
      <c r="T911" s="1457"/>
      <c r="U911" s="1457"/>
      <c r="V911" s="1457"/>
      <c r="W911" s="1457"/>
      <c r="X911" s="1457"/>
      <c r="Y911" s="1457"/>
    </row>
    <row r="912" spans="1:25" x14ac:dyDescent="0.2">
      <c r="A912" s="2296"/>
      <c r="B912" s="2296"/>
      <c r="C912" s="2296"/>
      <c r="D912" s="2296"/>
      <c r="E912" s="1456"/>
      <c r="R912" s="1457"/>
      <c r="S912" s="1457"/>
      <c r="T912" s="1457"/>
      <c r="U912" s="1457"/>
      <c r="V912" s="1457"/>
      <c r="W912" s="1457"/>
      <c r="X912" s="1457"/>
      <c r="Y912" s="1457"/>
    </row>
    <row r="913" spans="1:25" x14ac:dyDescent="0.2">
      <c r="A913" s="2296"/>
      <c r="B913" s="2296"/>
      <c r="C913" s="2296"/>
      <c r="D913" s="2296"/>
      <c r="E913" s="1456"/>
      <c r="R913" s="1457"/>
      <c r="S913" s="1457"/>
      <c r="T913" s="1457"/>
      <c r="U913" s="1457"/>
      <c r="V913" s="1457"/>
      <c r="W913" s="1457"/>
      <c r="X913" s="1457"/>
      <c r="Y913" s="1457"/>
    </row>
    <row r="914" spans="1:25" x14ac:dyDescent="0.2">
      <c r="A914" s="2296"/>
      <c r="B914" s="2296"/>
      <c r="C914" s="2296"/>
      <c r="D914" s="2296"/>
      <c r="E914" s="1456"/>
      <c r="R914" s="1457"/>
      <c r="S914" s="1457"/>
      <c r="T914" s="1457"/>
      <c r="U914" s="1457"/>
      <c r="V914" s="1457"/>
      <c r="W914" s="1457"/>
      <c r="X914" s="1457"/>
      <c r="Y914" s="1457"/>
    </row>
    <row r="915" spans="1:25" x14ac:dyDescent="0.2">
      <c r="A915" s="2296"/>
      <c r="B915" s="2296"/>
      <c r="C915" s="2296"/>
      <c r="D915" s="2296"/>
      <c r="E915" s="1456"/>
      <c r="R915" s="1457"/>
      <c r="S915" s="1457"/>
      <c r="T915" s="1457"/>
      <c r="U915" s="1457"/>
      <c r="V915" s="1457"/>
      <c r="W915" s="1457"/>
      <c r="X915" s="1457"/>
      <c r="Y915" s="1457"/>
    </row>
    <row r="916" spans="1:25" x14ac:dyDescent="0.2">
      <c r="A916" s="2296"/>
      <c r="B916" s="2296"/>
      <c r="C916" s="2296"/>
      <c r="D916" s="2296"/>
      <c r="E916" s="1456"/>
      <c r="R916" s="1457"/>
      <c r="S916" s="1457"/>
      <c r="T916" s="1457"/>
      <c r="U916" s="1457"/>
      <c r="V916" s="1457"/>
      <c r="W916" s="1457"/>
      <c r="X916" s="1457"/>
      <c r="Y916" s="1457"/>
    </row>
    <row r="917" spans="1:25" x14ac:dyDescent="0.2">
      <c r="A917" s="2296"/>
      <c r="B917" s="2296"/>
      <c r="C917" s="2296"/>
      <c r="D917" s="2296"/>
      <c r="E917" s="1456"/>
      <c r="R917" s="1457"/>
      <c r="S917" s="1457"/>
      <c r="T917" s="1457"/>
      <c r="U917" s="1457"/>
      <c r="V917" s="1457"/>
      <c r="W917" s="1457"/>
      <c r="X917" s="1457"/>
      <c r="Y917" s="1457"/>
    </row>
    <row r="918" spans="1:25" x14ac:dyDescent="0.2">
      <c r="A918" s="2296"/>
      <c r="B918" s="2296"/>
      <c r="C918" s="2296"/>
      <c r="D918" s="2296"/>
      <c r="E918" s="1456"/>
      <c r="R918" s="1457"/>
      <c r="S918" s="1457"/>
      <c r="T918" s="1457"/>
      <c r="U918" s="1457"/>
      <c r="V918" s="1457"/>
      <c r="W918" s="1457"/>
      <c r="X918" s="1457"/>
      <c r="Y918" s="1457"/>
    </row>
    <row r="919" spans="1:25" x14ac:dyDescent="0.2">
      <c r="A919" s="2296"/>
      <c r="B919" s="2296"/>
      <c r="C919" s="2296"/>
      <c r="D919" s="2296"/>
      <c r="E919" s="1456"/>
      <c r="R919" s="1457"/>
      <c r="S919" s="1457"/>
      <c r="T919" s="1457"/>
      <c r="U919" s="1457"/>
      <c r="V919" s="1457"/>
      <c r="W919" s="1457"/>
      <c r="X919" s="1457"/>
      <c r="Y919" s="1457"/>
    </row>
    <row r="920" spans="1:25" x14ac:dyDescent="0.2">
      <c r="A920" s="2296"/>
      <c r="B920" s="2296"/>
      <c r="C920" s="2296"/>
      <c r="D920" s="2296"/>
      <c r="E920" s="1456"/>
      <c r="R920" s="1457"/>
      <c r="S920" s="1457"/>
      <c r="T920" s="1457"/>
      <c r="U920" s="1457"/>
      <c r="V920" s="1457"/>
      <c r="W920" s="1457"/>
      <c r="X920" s="1457"/>
      <c r="Y920" s="1457"/>
    </row>
    <row r="921" spans="1:25" x14ac:dyDescent="0.2">
      <c r="A921" s="2296"/>
      <c r="B921" s="2296"/>
      <c r="C921" s="2296"/>
      <c r="D921" s="2296"/>
      <c r="E921" s="1456"/>
      <c r="R921" s="1457"/>
      <c r="S921" s="1457"/>
      <c r="T921" s="1457"/>
      <c r="U921" s="1457"/>
      <c r="V921" s="1457"/>
      <c r="W921" s="1457"/>
      <c r="X921" s="1457"/>
      <c r="Y921" s="1457"/>
    </row>
    <row r="922" spans="1:25" x14ac:dyDescent="0.2">
      <c r="A922" s="2296"/>
      <c r="B922" s="2296"/>
      <c r="C922" s="2296"/>
      <c r="D922" s="2296"/>
      <c r="E922" s="1456"/>
      <c r="R922" s="1457"/>
      <c r="S922" s="1457"/>
      <c r="T922" s="1457"/>
      <c r="U922" s="1457"/>
      <c r="V922" s="1457"/>
      <c r="W922" s="1457"/>
      <c r="X922" s="1457"/>
      <c r="Y922" s="1457"/>
    </row>
    <row r="923" spans="1:25" x14ac:dyDescent="0.2">
      <c r="A923" s="2296"/>
      <c r="B923" s="2296"/>
      <c r="C923" s="2296"/>
      <c r="D923" s="2296"/>
      <c r="E923" s="1456"/>
      <c r="R923" s="1457"/>
      <c r="S923" s="1457"/>
      <c r="T923" s="1457"/>
      <c r="U923" s="1457"/>
      <c r="V923" s="1457"/>
      <c r="W923" s="1457"/>
      <c r="X923" s="1457"/>
      <c r="Y923" s="1457"/>
    </row>
    <row r="924" spans="1:25" x14ac:dyDescent="0.2">
      <c r="A924" s="2296"/>
      <c r="B924" s="2296"/>
      <c r="C924" s="2296"/>
      <c r="D924" s="2296"/>
      <c r="E924" s="1456"/>
      <c r="R924" s="1457"/>
      <c r="S924" s="1457"/>
      <c r="T924" s="1457"/>
      <c r="U924" s="1457"/>
      <c r="V924" s="1457"/>
      <c r="W924" s="1457"/>
      <c r="X924" s="1457"/>
      <c r="Y924" s="1457"/>
    </row>
    <row r="925" spans="1:25" x14ac:dyDescent="0.2">
      <c r="A925" s="2296"/>
      <c r="B925" s="2296"/>
      <c r="C925" s="2296"/>
      <c r="D925" s="2296"/>
      <c r="E925" s="1456"/>
      <c r="R925" s="1457"/>
      <c r="S925" s="1457"/>
      <c r="T925" s="1457"/>
      <c r="U925" s="1457"/>
      <c r="V925" s="1457"/>
      <c r="W925" s="1457"/>
      <c r="X925" s="1457"/>
      <c r="Y925" s="1457"/>
    </row>
    <row r="926" spans="1:25" x14ac:dyDescent="0.2">
      <c r="A926" s="2296"/>
      <c r="B926" s="2296"/>
      <c r="C926" s="2296"/>
      <c r="D926" s="2296"/>
      <c r="E926" s="1456"/>
      <c r="R926" s="1457"/>
      <c r="S926" s="1457"/>
      <c r="T926" s="1457"/>
      <c r="U926" s="1457"/>
      <c r="V926" s="1457"/>
      <c r="W926" s="1457"/>
      <c r="X926" s="1457"/>
      <c r="Y926" s="1457"/>
    </row>
    <row r="927" spans="1:25" x14ac:dyDescent="0.2">
      <c r="A927" s="2296"/>
      <c r="B927" s="2296"/>
      <c r="C927" s="2296"/>
      <c r="D927" s="2296"/>
      <c r="E927" s="1456"/>
      <c r="R927" s="1457"/>
      <c r="S927" s="1457"/>
      <c r="T927" s="1457"/>
      <c r="U927" s="1457"/>
      <c r="V927" s="1457"/>
      <c r="W927" s="1457"/>
      <c r="X927" s="1457"/>
      <c r="Y927" s="1457"/>
    </row>
    <row r="928" spans="1:25" x14ac:dyDescent="0.2">
      <c r="A928" s="2296"/>
      <c r="B928" s="2296"/>
      <c r="C928" s="2296"/>
      <c r="D928" s="2296"/>
      <c r="E928" s="1456"/>
      <c r="R928" s="1457"/>
      <c r="S928" s="1457"/>
      <c r="T928" s="1457"/>
      <c r="U928" s="1457"/>
      <c r="V928" s="1457"/>
      <c r="W928" s="1457"/>
      <c r="X928" s="1457"/>
      <c r="Y928" s="1457"/>
    </row>
    <row r="929" spans="1:25" x14ac:dyDescent="0.2">
      <c r="A929" s="2296"/>
      <c r="B929" s="2296"/>
      <c r="C929" s="2296"/>
      <c r="D929" s="2296"/>
      <c r="E929" s="1456"/>
      <c r="R929" s="1457"/>
      <c r="S929" s="1457"/>
      <c r="T929" s="1457"/>
      <c r="U929" s="1457"/>
      <c r="V929" s="1457"/>
      <c r="W929" s="1457"/>
      <c r="X929" s="1457"/>
      <c r="Y929" s="1457"/>
    </row>
    <row r="930" spans="1:25" x14ac:dyDescent="0.2">
      <c r="A930" s="2296"/>
      <c r="B930" s="2296"/>
      <c r="C930" s="2296"/>
      <c r="D930" s="2296"/>
      <c r="E930" s="1456"/>
      <c r="R930" s="1457"/>
      <c r="S930" s="1457"/>
      <c r="T930" s="1457"/>
      <c r="U930" s="1457"/>
      <c r="V930" s="1457"/>
      <c r="W930" s="1457"/>
      <c r="X930" s="1457"/>
      <c r="Y930" s="1457"/>
    </row>
    <row r="931" spans="1:25" x14ac:dyDescent="0.2">
      <c r="A931" s="2296"/>
      <c r="B931" s="2296"/>
      <c r="C931" s="2296"/>
      <c r="D931" s="2296"/>
      <c r="E931" s="1456"/>
      <c r="R931" s="1457"/>
      <c r="S931" s="1457"/>
      <c r="T931" s="1457"/>
      <c r="U931" s="1457"/>
      <c r="V931" s="1457"/>
      <c r="W931" s="1457"/>
      <c r="X931" s="1457"/>
      <c r="Y931" s="1457"/>
    </row>
    <row r="932" spans="1:25" x14ac:dyDescent="0.2">
      <c r="A932" s="2296"/>
      <c r="B932" s="2296"/>
      <c r="C932" s="2296"/>
      <c r="D932" s="2296"/>
      <c r="E932" s="1456"/>
      <c r="R932" s="1457"/>
      <c r="S932" s="1457"/>
      <c r="T932" s="1457"/>
      <c r="U932" s="1457"/>
      <c r="V932" s="1457"/>
      <c r="W932" s="1457"/>
      <c r="X932" s="1457"/>
      <c r="Y932" s="1457"/>
    </row>
    <row r="933" spans="1:25" x14ac:dyDescent="0.2">
      <c r="A933" s="2296"/>
      <c r="B933" s="2296"/>
      <c r="C933" s="2296"/>
      <c r="D933" s="2296"/>
      <c r="E933" s="1456"/>
      <c r="R933" s="1457"/>
      <c r="S933" s="1457"/>
      <c r="T933" s="1457"/>
      <c r="U933" s="1457"/>
      <c r="V933" s="1457"/>
      <c r="W933" s="1457"/>
      <c r="X933" s="1457"/>
      <c r="Y933" s="1457"/>
    </row>
    <row r="934" spans="1:25" x14ac:dyDescent="0.2">
      <c r="A934" s="2296"/>
      <c r="B934" s="2296"/>
      <c r="C934" s="2296"/>
      <c r="D934" s="2296"/>
      <c r="E934" s="1456"/>
      <c r="R934" s="1457"/>
      <c r="S934" s="1457"/>
      <c r="T934" s="1457"/>
      <c r="U934" s="1457"/>
      <c r="V934" s="1457"/>
      <c r="W934" s="1457"/>
      <c r="X934" s="1457"/>
      <c r="Y934" s="1457"/>
    </row>
    <row r="935" spans="1:25" x14ac:dyDescent="0.2">
      <c r="A935" s="2296"/>
      <c r="B935" s="2296"/>
      <c r="C935" s="2296"/>
      <c r="D935" s="2296"/>
      <c r="E935" s="1456"/>
      <c r="R935" s="1457"/>
      <c r="S935" s="1457"/>
      <c r="T935" s="1457"/>
      <c r="U935" s="1457"/>
      <c r="V935" s="1457"/>
      <c r="W935" s="1457"/>
      <c r="X935" s="1457"/>
      <c r="Y935" s="1457"/>
    </row>
    <row r="936" spans="1:25" x14ac:dyDescent="0.2">
      <c r="A936" s="2296"/>
      <c r="B936" s="2296"/>
      <c r="C936" s="2296"/>
      <c r="D936" s="2296"/>
      <c r="E936" s="1456"/>
      <c r="R936" s="1457"/>
      <c r="S936" s="1457"/>
      <c r="T936" s="1457"/>
      <c r="U936" s="1457"/>
      <c r="V936" s="1457"/>
      <c r="W936" s="1457"/>
      <c r="X936" s="1457"/>
      <c r="Y936" s="1457"/>
    </row>
    <row r="937" spans="1:25" x14ac:dyDescent="0.2">
      <c r="A937" s="2296"/>
      <c r="B937" s="2296"/>
      <c r="C937" s="2296"/>
      <c r="D937" s="2296"/>
      <c r="E937" s="1456"/>
      <c r="R937" s="1457"/>
      <c r="S937" s="1457"/>
      <c r="T937" s="1457"/>
      <c r="U937" s="1457"/>
      <c r="V937" s="1457"/>
      <c r="W937" s="1457"/>
      <c r="X937" s="1457"/>
      <c r="Y937" s="1457"/>
    </row>
    <row r="938" spans="1:25" x14ac:dyDescent="0.2">
      <c r="A938" s="2296"/>
      <c r="B938" s="2296"/>
      <c r="C938" s="2296"/>
      <c r="D938" s="2296"/>
      <c r="E938" s="1456"/>
      <c r="R938" s="1457"/>
      <c r="S938" s="1457"/>
      <c r="T938" s="1457"/>
      <c r="U938" s="1457"/>
      <c r="V938" s="1457"/>
      <c r="W938" s="1457"/>
      <c r="X938" s="1457"/>
      <c r="Y938" s="1457"/>
    </row>
    <row r="939" spans="1:25" x14ac:dyDescent="0.2">
      <c r="A939" s="2296"/>
      <c r="B939" s="2296"/>
      <c r="C939" s="2296"/>
      <c r="D939" s="2296"/>
      <c r="E939" s="1456"/>
      <c r="R939" s="1457"/>
      <c r="S939" s="1457"/>
      <c r="T939" s="1457"/>
      <c r="U939" s="1457"/>
      <c r="V939" s="1457"/>
      <c r="W939" s="1457"/>
      <c r="X939" s="1457"/>
      <c r="Y939" s="1457"/>
    </row>
    <row r="940" spans="1:25" x14ac:dyDescent="0.2">
      <c r="A940" s="2296"/>
      <c r="B940" s="2296"/>
      <c r="C940" s="2296"/>
      <c r="D940" s="2296"/>
      <c r="E940" s="1456"/>
      <c r="R940" s="1457"/>
      <c r="S940" s="1457"/>
      <c r="T940" s="1457"/>
      <c r="U940" s="1457"/>
      <c r="V940" s="1457"/>
      <c r="W940" s="1457"/>
      <c r="X940" s="1457"/>
      <c r="Y940" s="1457"/>
    </row>
    <row r="941" spans="1:25" x14ac:dyDescent="0.2">
      <c r="A941" s="2296"/>
      <c r="B941" s="2296"/>
      <c r="C941" s="2296"/>
      <c r="D941" s="2296"/>
      <c r="E941" s="1456"/>
      <c r="R941" s="1457"/>
      <c r="S941" s="1457"/>
      <c r="T941" s="1457"/>
      <c r="U941" s="1457"/>
      <c r="V941" s="1457"/>
      <c r="W941" s="1457"/>
      <c r="X941" s="1457"/>
      <c r="Y941" s="1457"/>
    </row>
    <row r="942" spans="1:25" x14ac:dyDescent="0.2">
      <c r="A942" s="2296"/>
      <c r="B942" s="2296"/>
      <c r="C942" s="2296"/>
      <c r="D942" s="2296"/>
      <c r="E942" s="1456"/>
      <c r="R942" s="1457"/>
      <c r="S942" s="1457"/>
      <c r="T942" s="1457"/>
      <c r="U942" s="1457"/>
      <c r="V942" s="1457"/>
      <c r="W942" s="1457"/>
      <c r="X942" s="1457"/>
      <c r="Y942" s="1457"/>
    </row>
    <row r="943" spans="1:25" x14ac:dyDescent="0.2">
      <c r="A943" s="2296"/>
      <c r="B943" s="2296"/>
      <c r="C943" s="2296"/>
      <c r="D943" s="2296"/>
      <c r="E943" s="1456"/>
      <c r="R943" s="1457"/>
      <c r="S943" s="1457"/>
      <c r="T943" s="1457"/>
      <c r="U943" s="1457"/>
      <c r="V943" s="1457"/>
      <c r="W943" s="1457"/>
      <c r="X943" s="1457"/>
      <c r="Y943" s="1457"/>
    </row>
    <row r="944" spans="1:25" x14ac:dyDescent="0.2">
      <c r="A944" s="2296"/>
      <c r="B944" s="2296"/>
      <c r="C944" s="2296"/>
      <c r="D944" s="2296"/>
      <c r="E944" s="1456"/>
      <c r="R944" s="1457"/>
      <c r="S944" s="1457"/>
      <c r="T944" s="1457"/>
      <c r="U944" s="1457"/>
      <c r="V944" s="1457"/>
      <c r="W944" s="1457"/>
      <c r="X944" s="1457"/>
      <c r="Y944" s="1457"/>
    </row>
    <row r="945" spans="1:25" x14ac:dyDescent="0.2">
      <c r="A945" s="2296"/>
      <c r="B945" s="2296"/>
      <c r="C945" s="2296"/>
      <c r="D945" s="2296"/>
      <c r="E945" s="1456"/>
      <c r="R945" s="1457"/>
      <c r="S945" s="1457"/>
      <c r="T945" s="1457"/>
      <c r="U945" s="1457"/>
      <c r="V945" s="1457"/>
      <c r="W945" s="1457"/>
      <c r="X945" s="1457"/>
      <c r="Y945" s="1457"/>
    </row>
    <row r="946" spans="1:25" x14ac:dyDescent="0.2">
      <c r="A946" s="2296"/>
      <c r="B946" s="2296"/>
      <c r="C946" s="2296"/>
      <c r="D946" s="2296"/>
      <c r="E946" s="1456"/>
      <c r="R946" s="1457"/>
      <c r="S946" s="1457"/>
      <c r="T946" s="1457"/>
      <c r="U946" s="1457"/>
      <c r="V946" s="1457"/>
      <c r="W946" s="1457"/>
      <c r="X946" s="1457"/>
      <c r="Y946" s="1457"/>
    </row>
    <row r="947" spans="1:25" x14ac:dyDescent="0.2">
      <c r="A947" s="2296"/>
      <c r="B947" s="2296"/>
      <c r="C947" s="2296"/>
      <c r="D947" s="2296"/>
      <c r="E947" s="1456"/>
      <c r="R947" s="1457"/>
      <c r="S947" s="1457"/>
      <c r="T947" s="1457"/>
      <c r="U947" s="1457"/>
      <c r="V947" s="1457"/>
      <c r="W947" s="1457"/>
      <c r="X947" s="1457"/>
      <c r="Y947" s="1457"/>
    </row>
    <row r="948" spans="1:25" x14ac:dyDescent="0.2">
      <c r="A948" s="2296"/>
      <c r="B948" s="2296"/>
      <c r="C948" s="2296"/>
      <c r="D948" s="2296"/>
      <c r="E948" s="1456"/>
      <c r="R948" s="1457"/>
      <c r="S948" s="1457"/>
      <c r="T948" s="1457"/>
      <c r="U948" s="1457"/>
      <c r="V948" s="1457"/>
      <c r="W948" s="1457"/>
      <c r="X948" s="1457"/>
      <c r="Y948" s="1457"/>
    </row>
    <row r="949" spans="1:25" x14ac:dyDescent="0.2">
      <c r="A949" s="2296"/>
      <c r="B949" s="2296"/>
      <c r="C949" s="2296"/>
      <c r="D949" s="2296"/>
      <c r="E949" s="1456"/>
      <c r="R949" s="1457"/>
      <c r="S949" s="1457"/>
      <c r="T949" s="1457"/>
      <c r="U949" s="1457"/>
      <c r="V949" s="1457"/>
      <c r="W949" s="1457"/>
      <c r="X949" s="1457"/>
      <c r="Y949" s="1457"/>
    </row>
    <row r="950" spans="1:25" x14ac:dyDescent="0.2">
      <c r="A950" s="2296"/>
      <c r="B950" s="2296"/>
      <c r="C950" s="2296"/>
      <c r="D950" s="2296"/>
      <c r="E950" s="1456"/>
      <c r="R950" s="1457"/>
      <c r="S950" s="1457"/>
      <c r="T950" s="1457"/>
      <c r="U950" s="1457"/>
      <c r="V950" s="1457"/>
      <c r="W950" s="1457"/>
      <c r="X950" s="1457"/>
      <c r="Y950" s="1457"/>
    </row>
    <row r="951" spans="1:25" x14ac:dyDescent="0.2">
      <c r="A951" s="2296"/>
      <c r="B951" s="2296"/>
      <c r="C951" s="2296"/>
      <c r="D951" s="2296"/>
      <c r="E951" s="1456"/>
      <c r="R951" s="1457"/>
      <c r="S951" s="1457"/>
      <c r="T951" s="1457"/>
      <c r="U951" s="1457"/>
      <c r="V951" s="1457"/>
      <c r="W951" s="1457"/>
      <c r="X951" s="1457"/>
      <c r="Y951" s="1457"/>
    </row>
    <row r="952" spans="1:25" x14ac:dyDescent="0.2">
      <c r="A952" s="2296"/>
      <c r="B952" s="2296"/>
      <c r="C952" s="2296"/>
      <c r="D952" s="2296"/>
      <c r="E952" s="1456"/>
      <c r="R952" s="1457"/>
      <c r="S952" s="1457"/>
      <c r="T952" s="1457"/>
      <c r="U952" s="1457"/>
      <c r="V952" s="1457"/>
      <c r="W952" s="1457"/>
      <c r="X952" s="1457"/>
      <c r="Y952" s="1457"/>
    </row>
    <row r="953" spans="1:25" x14ac:dyDescent="0.2">
      <c r="A953" s="2296"/>
      <c r="B953" s="2296"/>
      <c r="C953" s="2296"/>
      <c r="D953" s="2296"/>
      <c r="E953" s="1456"/>
      <c r="R953" s="1457"/>
      <c r="S953" s="1457"/>
      <c r="T953" s="1457"/>
      <c r="U953" s="1457"/>
      <c r="V953" s="1457"/>
      <c r="W953" s="1457"/>
      <c r="X953" s="1457"/>
      <c r="Y953" s="1457"/>
    </row>
    <row r="954" spans="1:25" x14ac:dyDescent="0.2">
      <c r="A954" s="2296"/>
      <c r="B954" s="2296"/>
      <c r="C954" s="2296"/>
      <c r="D954" s="2296"/>
      <c r="E954" s="1456"/>
      <c r="R954" s="1457"/>
      <c r="S954" s="1457"/>
      <c r="T954" s="1457"/>
      <c r="U954" s="1457"/>
      <c r="V954" s="1457"/>
      <c r="W954" s="1457"/>
      <c r="X954" s="1457"/>
      <c r="Y954" s="1457"/>
    </row>
    <row r="955" spans="1:25" x14ac:dyDescent="0.2">
      <c r="A955" s="2296"/>
      <c r="B955" s="2296"/>
      <c r="C955" s="2296"/>
      <c r="D955" s="2296"/>
      <c r="E955" s="1456"/>
      <c r="R955" s="1457"/>
      <c r="S955" s="1457"/>
      <c r="T955" s="1457"/>
      <c r="U955" s="1457"/>
      <c r="V955" s="1457"/>
      <c r="W955" s="1457"/>
      <c r="X955" s="1457"/>
      <c r="Y955" s="1457"/>
    </row>
    <row r="956" spans="1:25" x14ac:dyDescent="0.2">
      <c r="A956" s="2296"/>
      <c r="B956" s="2296"/>
      <c r="C956" s="2296"/>
      <c r="D956" s="2296"/>
      <c r="E956" s="1456"/>
      <c r="R956" s="1457"/>
      <c r="S956" s="1457"/>
      <c r="T956" s="1457"/>
      <c r="U956" s="1457"/>
      <c r="V956" s="1457"/>
      <c r="W956" s="1457"/>
      <c r="X956" s="1457"/>
      <c r="Y956" s="1457"/>
    </row>
    <row r="957" spans="1:25" x14ac:dyDescent="0.2">
      <c r="A957" s="2296"/>
      <c r="B957" s="2296"/>
      <c r="C957" s="2296"/>
      <c r="D957" s="2296"/>
      <c r="E957" s="1456"/>
      <c r="R957" s="1457"/>
      <c r="S957" s="1457"/>
      <c r="T957" s="1457"/>
      <c r="U957" s="1457"/>
      <c r="V957" s="1457"/>
      <c r="W957" s="1457"/>
      <c r="X957" s="1457"/>
      <c r="Y957" s="1457"/>
    </row>
    <row r="958" spans="1:25" x14ac:dyDescent="0.2">
      <c r="A958" s="2296"/>
      <c r="B958" s="2296"/>
      <c r="C958" s="2296"/>
      <c r="D958" s="2296"/>
      <c r="E958" s="1456"/>
      <c r="R958" s="1457"/>
      <c r="S958" s="1457"/>
      <c r="T958" s="1457"/>
      <c r="U958" s="1457"/>
      <c r="V958" s="1457"/>
      <c r="W958" s="1457"/>
      <c r="X958" s="1457"/>
      <c r="Y958" s="1457"/>
    </row>
    <row r="959" spans="1:25" x14ac:dyDescent="0.2">
      <c r="A959" s="2296"/>
      <c r="B959" s="2296"/>
      <c r="C959" s="2296"/>
      <c r="D959" s="2296"/>
      <c r="E959" s="1456"/>
      <c r="R959" s="1457"/>
      <c r="S959" s="1457"/>
      <c r="T959" s="1457"/>
      <c r="U959" s="1457"/>
      <c r="V959" s="1457"/>
      <c r="W959" s="1457"/>
      <c r="X959" s="1457"/>
      <c r="Y959" s="1457"/>
    </row>
    <row r="960" spans="1:25" x14ac:dyDescent="0.2">
      <c r="A960" s="2296"/>
      <c r="B960" s="2296"/>
      <c r="C960" s="2296"/>
      <c r="D960" s="2296"/>
      <c r="E960" s="1456"/>
      <c r="R960" s="1457"/>
      <c r="S960" s="1457"/>
      <c r="T960" s="1457"/>
      <c r="U960" s="1457"/>
      <c r="V960" s="1457"/>
      <c r="W960" s="1457"/>
      <c r="X960" s="1457"/>
      <c r="Y960" s="1457"/>
    </row>
    <row r="961" spans="1:25" x14ac:dyDescent="0.2">
      <c r="A961" s="2296"/>
      <c r="B961" s="2296"/>
      <c r="C961" s="2296"/>
      <c r="D961" s="2296"/>
      <c r="E961" s="1456"/>
      <c r="R961" s="1457"/>
      <c r="S961" s="1457"/>
      <c r="T961" s="1457"/>
      <c r="U961" s="1457"/>
      <c r="V961" s="1457"/>
      <c r="W961" s="1457"/>
      <c r="X961" s="1457"/>
      <c r="Y961" s="1457"/>
    </row>
    <row r="962" spans="1:25" x14ac:dyDescent="0.2">
      <c r="A962" s="2296"/>
      <c r="B962" s="2296"/>
      <c r="C962" s="2296"/>
      <c r="D962" s="2296"/>
      <c r="E962" s="1456"/>
      <c r="R962" s="1457"/>
      <c r="S962" s="1457"/>
      <c r="T962" s="1457"/>
      <c r="U962" s="1457"/>
      <c r="V962" s="1457"/>
      <c r="W962" s="1457"/>
      <c r="X962" s="1457"/>
      <c r="Y962" s="1457"/>
    </row>
    <row r="963" spans="1:25" x14ac:dyDescent="0.2">
      <c r="A963" s="2296"/>
      <c r="B963" s="2296"/>
      <c r="C963" s="2296"/>
      <c r="D963" s="2296"/>
      <c r="E963" s="1456"/>
      <c r="R963" s="1457"/>
      <c r="S963" s="1457"/>
      <c r="T963" s="1457"/>
      <c r="U963" s="1457"/>
      <c r="V963" s="1457"/>
      <c r="W963" s="1457"/>
      <c r="X963" s="1457"/>
      <c r="Y963" s="1457"/>
    </row>
    <row r="964" spans="1:25" x14ac:dyDescent="0.2">
      <c r="A964" s="2296"/>
      <c r="B964" s="2296"/>
      <c r="C964" s="2296"/>
      <c r="D964" s="2296"/>
      <c r="E964" s="1456"/>
      <c r="R964" s="1457"/>
      <c r="S964" s="1457"/>
      <c r="T964" s="1457"/>
      <c r="U964" s="1457"/>
      <c r="V964" s="1457"/>
      <c r="W964" s="1457"/>
      <c r="X964" s="1457"/>
      <c r="Y964" s="1457"/>
    </row>
    <row r="965" spans="1:25" x14ac:dyDescent="0.2">
      <c r="A965" s="2296"/>
      <c r="B965" s="2296"/>
      <c r="C965" s="2296"/>
      <c r="D965" s="2296"/>
      <c r="E965" s="1456"/>
      <c r="R965" s="1457"/>
      <c r="S965" s="1457"/>
      <c r="T965" s="1457"/>
      <c r="U965" s="1457"/>
      <c r="V965" s="1457"/>
      <c r="W965" s="1457"/>
      <c r="X965" s="1457"/>
      <c r="Y965" s="1457"/>
    </row>
    <row r="966" spans="1:25" x14ac:dyDescent="0.2">
      <c r="A966" s="2296"/>
      <c r="B966" s="2296"/>
      <c r="C966" s="2296"/>
      <c r="D966" s="2296"/>
      <c r="E966" s="1456"/>
      <c r="R966" s="1457"/>
      <c r="S966" s="1457"/>
      <c r="T966" s="1457"/>
      <c r="U966" s="1457"/>
      <c r="V966" s="1457"/>
      <c r="W966" s="1457"/>
      <c r="X966" s="1457"/>
      <c r="Y966" s="1457"/>
    </row>
    <row r="967" spans="1:25" x14ac:dyDescent="0.2">
      <c r="A967" s="2296"/>
      <c r="B967" s="2296"/>
      <c r="C967" s="2296"/>
      <c r="D967" s="2296"/>
      <c r="E967" s="1456"/>
      <c r="R967" s="1457"/>
      <c r="S967" s="1457"/>
      <c r="T967" s="1457"/>
      <c r="U967" s="1457"/>
      <c r="V967" s="1457"/>
      <c r="W967" s="1457"/>
      <c r="X967" s="1457"/>
      <c r="Y967" s="1457"/>
    </row>
    <row r="968" spans="1:25" x14ac:dyDescent="0.2">
      <c r="A968" s="2296"/>
      <c r="B968" s="2296"/>
      <c r="C968" s="2296"/>
      <c r="D968" s="2296"/>
      <c r="E968" s="1456"/>
      <c r="R968" s="1457"/>
      <c r="S968" s="1457"/>
      <c r="T968" s="1457"/>
      <c r="U968" s="1457"/>
      <c r="V968" s="1457"/>
      <c r="W968" s="1457"/>
      <c r="X968" s="1457"/>
      <c r="Y968" s="1457"/>
    </row>
    <row r="969" spans="1:25" x14ac:dyDescent="0.2">
      <c r="A969" s="2296"/>
      <c r="B969" s="2296"/>
      <c r="C969" s="2296"/>
      <c r="D969" s="2296"/>
      <c r="E969" s="1456"/>
      <c r="R969" s="1457"/>
      <c r="S969" s="1457"/>
      <c r="T969" s="1457"/>
      <c r="U969" s="1457"/>
      <c r="V969" s="1457"/>
      <c r="W969" s="1457"/>
      <c r="X969" s="1457"/>
      <c r="Y969" s="1457"/>
    </row>
    <row r="970" spans="1:25" x14ac:dyDescent="0.2">
      <c r="A970" s="2296"/>
      <c r="B970" s="2296"/>
      <c r="C970" s="2296"/>
      <c r="D970" s="2296"/>
      <c r="E970" s="1456"/>
      <c r="R970" s="1457"/>
      <c r="S970" s="1457"/>
      <c r="T970" s="1457"/>
      <c r="U970" s="1457"/>
      <c r="V970" s="1457"/>
      <c r="W970" s="1457"/>
      <c r="X970" s="1457"/>
      <c r="Y970" s="1457"/>
    </row>
    <row r="971" spans="1:25" x14ac:dyDescent="0.2">
      <c r="A971" s="2296"/>
      <c r="B971" s="2296"/>
      <c r="C971" s="2296"/>
      <c r="D971" s="2296"/>
      <c r="E971" s="1456"/>
      <c r="R971" s="1457"/>
      <c r="S971" s="1457"/>
      <c r="T971" s="1457"/>
      <c r="U971" s="1457"/>
      <c r="V971" s="1457"/>
      <c r="W971" s="1457"/>
      <c r="X971" s="1457"/>
      <c r="Y971" s="1457"/>
    </row>
    <row r="972" spans="1:25" x14ac:dyDescent="0.2">
      <c r="A972" s="2296"/>
      <c r="B972" s="2296"/>
      <c r="C972" s="2296"/>
      <c r="D972" s="2296"/>
      <c r="E972" s="1456"/>
      <c r="R972" s="1457"/>
      <c r="S972" s="1457"/>
      <c r="T972" s="1457"/>
      <c r="U972" s="1457"/>
      <c r="V972" s="1457"/>
      <c r="W972" s="1457"/>
      <c r="X972" s="1457"/>
      <c r="Y972" s="1457"/>
    </row>
    <row r="973" spans="1:25" x14ac:dyDescent="0.2">
      <c r="A973" s="2296"/>
      <c r="B973" s="2296"/>
      <c r="C973" s="2296"/>
      <c r="D973" s="2296"/>
      <c r="E973" s="1456"/>
      <c r="R973" s="1457"/>
      <c r="S973" s="1457"/>
      <c r="T973" s="1457"/>
      <c r="U973" s="1457"/>
      <c r="V973" s="1457"/>
      <c r="W973" s="1457"/>
      <c r="X973" s="1457"/>
      <c r="Y973" s="1457"/>
    </row>
    <row r="974" spans="1:25" x14ac:dyDescent="0.2">
      <c r="A974" s="2296"/>
      <c r="B974" s="2296"/>
      <c r="C974" s="2296"/>
      <c r="D974" s="2296"/>
      <c r="E974" s="1456"/>
      <c r="R974" s="1457"/>
      <c r="S974" s="1457"/>
      <c r="T974" s="1457"/>
      <c r="U974" s="1457"/>
      <c r="V974" s="1457"/>
      <c r="W974" s="1457"/>
      <c r="X974" s="1457"/>
      <c r="Y974" s="1457"/>
    </row>
    <row r="975" spans="1:25" x14ac:dyDescent="0.2">
      <c r="A975" s="2296"/>
      <c r="B975" s="2296"/>
      <c r="C975" s="2296"/>
      <c r="D975" s="2296"/>
      <c r="E975" s="1456"/>
      <c r="R975" s="1457"/>
      <c r="S975" s="1457"/>
      <c r="T975" s="1457"/>
      <c r="U975" s="1457"/>
      <c r="V975" s="1457"/>
      <c r="W975" s="1457"/>
      <c r="X975" s="1457"/>
      <c r="Y975" s="1457"/>
    </row>
    <row r="976" spans="1:25" x14ac:dyDescent="0.2">
      <c r="A976" s="2296"/>
      <c r="B976" s="2296"/>
      <c r="C976" s="2296"/>
      <c r="D976" s="2296"/>
      <c r="E976" s="1456"/>
      <c r="R976" s="1457"/>
      <c r="S976" s="1457"/>
      <c r="T976" s="1457"/>
      <c r="U976" s="1457"/>
      <c r="V976" s="1457"/>
      <c r="W976" s="1457"/>
      <c r="X976" s="1457"/>
      <c r="Y976" s="1457"/>
    </row>
    <row r="977" spans="1:25" x14ac:dyDescent="0.2">
      <c r="A977" s="2296"/>
      <c r="B977" s="2296"/>
      <c r="C977" s="2296"/>
      <c r="D977" s="2296"/>
      <c r="E977" s="1456"/>
      <c r="R977" s="1457"/>
      <c r="S977" s="1457"/>
      <c r="T977" s="1457"/>
      <c r="U977" s="1457"/>
      <c r="V977" s="1457"/>
      <c r="W977" s="1457"/>
      <c r="X977" s="1457"/>
      <c r="Y977" s="1457"/>
    </row>
    <row r="978" spans="1:25" x14ac:dyDescent="0.2">
      <c r="A978" s="2296"/>
      <c r="B978" s="2296"/>
      <c r="C978" s="2296"/>
      <c r="D978" s="2296"/>
      <c r="E978" s="1456"/>
      <c r="R978" s="1457"/>
      <c r="S978" s="1457"/>
      <c r="T978" s="1457"/>
      <c r="U978" s="1457"/>
      <c r="V978" s="1457"/>
      <c r="W978" s="1457"/>
      <c r="X978" s="1457"/>
      <c r="Y978" s="1457"/>
    </row>
    <row r="979" spans="1:25" x14ac:dyDescent="0.2">
      <c r="A979" s="2296"/>
      <c r="B979" s="2296"/>
      <c r="C979" s="2296"/>
      <c r="D979" s="2296"/>
      <c r="E979" s="1456"/>
      <c r="R979" s="1457"/>
      <c r="S979" s="1457"/>
      <c r="T979" s="1457"/>
      <c r="U979" s="1457"/>
      <c r="V979" s="1457"/>
      <c r="W979" s="1457"/>
      <c r="X979" s="1457"/>
      <c r="Y979" s="1457"/>
    </row>
    <row r="980" spans="1:25" x14ac:dyDescent="0.2">
      <c r="A980" s="2296"/>
      <c r="B980" s="2296"/>
      <c r="C980" s="2296"/>
      <c r="D980" s="2296"/>
      <c r="E980" s="1456"/>
      <c r="R980" s="1457"/>
      <c r="S980" s="1457"/>
      <c r="T980" s="1457"/>
      <c r="U980" s="1457"/>
      <c r="V980" s="1457"/>
      <c r="W980" s="1457"/>
      <c r="X980" s="1457"/>
      <c r="Y980" s="1457"/>
    </row>
    <row r="981" spans="1:25" x14ac:dyDescent="0.2">
      <c r="A981" s="2296"/>
      <c r="B981" s="2296"/>
      <c r="C981" s="2296"/>
      <c r="D981" s="2296"/>
      <c r="E981" s="1456"/>
      <c r="R981" s="1457"/>
      <c r="S981" s="1457"/>
      <c r="T981" s="1457"/>
      <c r="U981" s="1457"/>
      <c r="V981" s="1457"/>
      <c r="W981" s="1457"/>
      <c r="X981" s="1457"/>
      <c r="Y981" s="1457"/>
    </row>
    <row r="982" spans="1:25" x14ac:dyDescent="0.2">
      <c r="A982" s="2296"/>
      <c r="B982" s="2296"/>
      <c r="C982" s="2296"/>
      <c r="D982" s="2296"/>
      <c r="E982" s="1456"/>
      <c r="R982" s="1457"/>
      <c r="S982" s="1457"/>
      <c r="T982" s="1457"/>
      <c r="U982" s="1457"/>
      <c r="V982" s="1457"/>
      <c r="W982" s="1457"/>
      <c r="X982" s="1457"/>
      <c r="Y982" s="1457"/>
    </row>
    <row r="983" spans="1:25" x14ac:dyDescent="0.2">
      <c r="A983" s="2296"/>
      <c r="B983" s="2296"/>
      <c r="C983" s="2296"/>
      <c r="D983" s="2296"/>
      <c r="E983" s="1456"/>
      <c r="R983" s="1457"/>
      <c r="S983" s="1457"/>
      <c r="T983" s="1457"/>
      <c r="U983" s="1457"/>
      <c r="V983" s="1457"/>
      <c r="W983" s="1457"/>
      <c r="X983" s="1457"/>
      <c r="Y983" s="1457"/>
    </row>
    <row r="984" spans="1:25" x14ac:dyDescent="0.2">
      <c r="A984" s="2296"/>
      <c r="B984" s="2296"/>
      <c r="C984" s="2296"/>
      <c r="D984" s="2296"/>
      <c r="E984" s="1456"/>
      <c r="R984" s="1457"/>
      <c r="S984" s="1457"/>
      <c r="T984" s="1457"/>
      <c r="U984" s="1457"/>
      <c r="V984" s="1457"/>
      <c r="W984" s="1457"/>
      <c r="X984" s="1457"/>
      <c r="Y984" s="1457"/>
    </row>
    <row r="985" spans="1:25" x14ac:dyDescent="0.2">
      <c r="A985" s="2296"/>
      <c r="B985" s="2296"/>
      <c r="C985" s="2296"/>
      <c r="D985" s="2296"/>
      <c r="E985" s="1456"/>
      <c r="R985" s="1457"/>
      <c r="S985" s="1457"/>
      <c r="T985" s="1457"/>
      <c r="U985" s="1457"/>
      <c r="V985" s="1457"/>
      <c r="W985" s="1457"/>
      <c r="X985" s="1457"/>
      <c r="Y985" s="1457"/>
    </row>
    <row r="986" spans="1:25" x14ac:dyDescent="0.2">
      <c r="A986" s="2296"/>
      <c r="B986" s="2296"/>
      <c r="C986" s="2296"/>
      <c r="D986" s="2296"/>
      <c r="E986" s="1456"/>
      <c r="R986" s="1457"/>
      <c r="S986" s="1457"/>
      <c r="T986" s="1457"/>
      <c r="U986" s="1457"/>
      <c r="V986" s="1457"/>
      <c r="W986" s="1457"/>
      <c r="X986" s="1457"/>
      <c r="Y986" s="1457"/>
    </row>
    <row r="987" spans="1:25" x14ac:dyDescent="0.2">
      <c r="A987" s="2296"/>
      <c r="B987" s="2296"/>
      <c r="C987" s="2296"/>
      <c r="D987" s="2296"/>
      <c r="E987" s="1456"/>
      <c r="R987" s="1457"/>
      <c r="S987" s="1457"/>
      <c r="T987" s="1457"/>
      <c r="U987" s="1457"/>
      <c r="V987" s="1457"/>
      <c r="W987" s="1457"/>
      <c r="X987" s="1457"/>
      <c r="Y987" s="1457"/>
    </row>
    <row r="988" spans="1:25" x14ac:dyDescent="0.2">
      <c r="A988" s="2296"/>
      <c r="B988" s="2296"/>
      <c r="C988" s="2296"/>
      <c r="D988" s="2296"/>
      <c r="E988" s="1456"/>
      <c r="R988" s="1457"/>
      <c r="S988" s="1457"/>
      <c r="T988" s="1457"/>
      <c r="U988" s="1457"/>
      <c r="V988" s="1457"/>
      <c r="W988" s="1457"/>
      <c r="X988" s="1457"/>
      <c r="Y988" s="1457"/>
    </row>
    <row r="989" spans="1:25" x14ac:dyDescent="0.2">
      <c r="A989" s="2296"/>
      <c r="B989" s="2296"/>
      <c r="C989" s="2296"/>
      <c r="D989" s="2296"/>
      <c r="E989" s="1456"/>
      <c r="R989" s="1457"/>
      <c r="S989" s="1457"/>
      <c r="T989" s="1457"/>
      <c r="U989" s="1457"/>
      <c r="V989" s="1457"/>
      <c r="W989" s="1457"/>
      <c r="X989" s="1457"/>
      <c r="Y989" s="1457"/>
    </row>
    <row r="990" spans="1:25" x14ac:dyDescent="0.2">
      <c r="A990" s="2296"/>
      <c r="B990" s="2296"/>
      <c r="C990" s="2296"/>
      <c r="D990" s="2296"/>
      <c r="E990" s="1456"/>
      <c r="R990" s="1457"/>
      <c r="S990" s="1457"/>
      <c r="T990" s="1457"/>
      <c r="U990" s="1457"/>
      <c r="V990" s="1457"/>
      <c r="W990" s="1457"/>
      <c r="X990" s="1457"/>
      <c r="Y990" s="1457"/>
    </row>
    <row r="991" spans="1:25" x14ac:dyDescent="0.2">
      <c r="A991" s="2296"/>
      <c r="B991" s="2296"/>
      <c r="C991" s="2296"/>
      <c r="D991" s="2296"/>
      <c r="E991" s="1456"/>
      <c r="R991" s="1457"/>
      <c r="S991" s="1457"/>
      <c r="T991" s="1457"/>
      <c r="U991" s="1457"/>
      <c r="V991" s="1457"/>
      <c r="W991" s="1457"/>
      <c r="X991" s="1457"/>
      <c r="Y991" s="1457"/>
    </row>
    <row r="992" spans="1:25" x14ac:dyDescent="0.2">
      <c r="A992" s="2296"/>
      <c r="B992" s="2296"/>
      <c r="C992" s="2296"/>
      <c r="D992" s="2296"/>
      <c r="E992" s="1456"/>
      <c r="R992" s="1457"/>
      <c r="S992" s="1457"/>
      <c r="T992" s="1457"/>
      <c r="U992" s="1457"/>
      <c r="V992" s="1457"/>
      <c r="W992" s="1457"/>
      <c r="X992" s="1457"/>
      <c r="Y992" s="1457"/>
    </row>
    <row r="993" spans="1:25" x14ac:dyDescent="0.2">
      <c r="A993" s="2296"/>
      <c r="B993" s="2296"/>
      <c r="C993" s="2296"/>
      <c r="D993" s="2296"/>
      <c r="E993" s="1456"/>
      <c r="R993" s="1457"/>
      <c r="S993" s="1457"/>
      <c r="T993" s="1457"/>
      <c r="U993" s="1457"/>
      <c r="V993" s="1457"/>
      <c r="W993" s="1457"/>
      <c r="X993" s="1457"/>
      <c r="Y993" s="1457"/>
    </row>
    <row r="994" spans="1:25" x14ac:dyDescent="0.2">
      <c r="A994" s="2296"/>
      <c r="B994" s="2296"/>
      <c r="C994" s="2296"/>
      <c r="D994" s="2296"/>
      <c r="E994" s="1456"/>
      <c r="R994" s="1457"/>
      <c r="S994" s="1457"/>
      <c r="T994" s="1457"/>
      <c r="U994" s="1457"/>
      <c r="V994" s="1457"/>
      <c r="W994" s="1457"/>
      <c r="X994" s="1457"/>
      <c r="Y994" s="1457"/>
    </row>
    <row r="995" spans="1:25" x14ac:dyDescent="0.2">
      <c r="A995" s="2296"/>
      <c r="B995" s="2296"/>
      <c r="C995" s="2296"/>
      <c r="D995" s="2296"/>
      <c r="E995" s="1456"/>
      <c r="R995" s="1457"/>
      <c r="S995" s="1457"/>
      <c r="T995" s="1457"/>
      <c r="U995" s="1457"/>
      <c r="V995" s="1457"/>
      <c r="W995" s="1457"/>
      <c r="X995" s="1457"/>
      <c r="Y995" s="1457"/>
    </row>
    <row r="996" spans="1:25" x14ac:dyDescent="0.2">
      <c r="A996" s="2296"/>
      <c r="B996" s="2296"/>
      <c r="C996" s="2296"/>
      <c r="D996" s="2296"/>
      <c r="E996" s="1456"/>
      <c r="R996" s="1457"/>
      <c r="S996" s="1457"/>
      <c r="T996" s="1457"/>
      <c r="U996" s="1457"/>
      <c r="V996" s="1457"/>
      <c r="W996" s="1457"/>
      <c r="X996" s="1457"/>
      <c r="Y996" s="1457"/>
    </row>
    <row r="997" spans="1:25" x14ac:dyDescent="0.2">
      <c r="A997" s="2296"/>
      <c r="B997" s="2296"/>
      <c r="C997" s="2296"/>
      <c r="D997" s="2296"/>
      <c r="E997" s="1456"/>
      <c r="R997" s="1457"/>
      <c r="S997" s="1457"/>
      <c r="T997" s="1457"/>
      <c r="U997" s="1457"/>
      <c r="V997" s="1457"/>
      <c r="W997" s="1457"/>
      <c r="X997" s="1457"/>
      <c r="Y997" s="1457"/>
    </row>
    <row r="998" spans="1:25" x14ac:dyDescent="0.2">
      <c r="A998" s="2296"/>
      <c r="B998" s="2296"/>
      <c r="C998" s="2296"/>
      <c r="D998" s="2296"/>
      <c r="E998" s="1456"/>
      <c r="R998" s="1457"/>
      <c r="S998" s="1457"/>
      <c r="T998" s="1457"/>
      <c r="U998" s="1457"/>
      <c r="V998" s="1457"/>
      <c r="W998" s="1457"/>
      <c r="X998" s="1457"/>
      <c r="Y998" s="1457"/>
    </row>
    <row r="999" spans="1:25" x14ac:dyDescent="0.2">
      <c r="A999" s="2296"/>
      <c r="B999" s="2296"/>
      <c r="C999" s="2296"/>
      <c r="D999" s="2296"/>
      <c r="E999" s="1456"/>
      <c r="R999" s="1457"/>
      <c r="S999" s="1457"/>
      <c r="T999" s="1457"/>
      <c r="U999" s="1457"/>
      <c r="V999" s="1457"/>
      <c r="W999" s="1457"/>
      <c r="X999" s="1457"/>
      <c r="Y999" s="1457"/>
    </row>
    <row r="1000" spans="1:25" x14ac:dyDescent="0.2">
      <c r="A1000" s="2296"/>
      <c r="B1000" s="2296"/>
      <c r="C1000" s="2296"/>
      <c r="D1000" s="2296"/>
      <c r="E1000" s="1456"/>
      <c r="R1000" s="1457"/>
      <c r="S1000" s="1457"/>
      <c r="T1000" s="1457"/>
      <c r="U1000" s="1457"/>
      <c r="V1000" s="1457"/>
      <c r="W1000" s="1457"/>
      <c r="X1000" s="1457"/>
      <c r="Y1000" s="1457"/>
    </row>
    <row r="1001" spans="1:25" x14ac:dyDescent="0.2">
      <c r="A1001" s="2296"/>
      <c r="B1001" s="2296"/>
      <c r="C1001" s="2296"/>
      <c r="D1001" s="2296"/>
      <c r="E1001" s="1456"/>
      <c r="R1001" s="1457"/>
      <c r="S1001" s="1457"/>
      <c r="T1001" s="1457"/>
      <c r="U1001" s="1457"/>
      <c r="V1001" s="1457"/>
      <c r="W1001" s="1457"/>
      <c r="X1001" s="1457"/>
      <c r="Y1001" s="1457"/>
    </row>
    <row r="1002" spans="1:25" x14ac:dyDescent="0.2">
      <c r="A1002" s="2296"/>
      <c r="B1002" s="2296"/>
      <c r="C1002" s="2296"/>
      <c r="D1002" s="2296"/>
      <c r="E1002" s="1456"/>
      <c r="R1002" s="1457"/>
      <c r="S1002" s="1457"/>
      <c r="T1002" s="1457"/>
      <c r="U1002" s="1457"/>
      <c r="V1002" s="1457"/>
      <c r="W1002" s="1457"/>
      <c r="X1002" s="1457"/>
      <c r="Y1002" s="1457"/>
    </row>
    <row r="1003" spans="1:25" x14ac:dyDescent="0.2">
      <c r="A1003" s="2296"/>
      <c r="B1003" s="2296"/>
      <c r="C1003" s="2296"/>
      <c r="D1003" s="2296"/>
      <c r="E1003" s="1456"/>
      <c r="R1003" s="1457"/>
      <c r="S1003" s="1457"/>
      <c r="T1003" s="1457"/>
      <c r="U1003" s="1457"/>
      <c r="V1003" s="1457"/>
      <c r="W1003" s="1457"/>
      <c r="X1003" s="1457"/>
      <c r="Y1003" s="1457"/>
    </row>
    <row r="1004" spans="1:25" x14ac:dyDescent="0.2">
      <c r="A1004" s="2296"/>
      <c r="B1004" s="2296"/>
      <c r="C1004" s="2296"/>
      <c r="D1004" s="2296"/>
      <c r="E1004" s="1456"/>
      <c r="R1004" s="1457"/>
      <c r="S1004" s="1457"/>
      <c r="T1004" s="1457"/>
      <c r="U1004" s="1457"/>
      <c r="V1004" s="1457"/>
      <c r="W1004" s="1457"/>
      <c r="X1004" s="1457"/>
      <c r="Y1004" s="1457"/>
    </row>
    <row r="1005" spans="1:25" x14ac:dyDescent="0.2">
      <c r="A1005" s="2296"/>
      <c r="B1005" s="2296"/>
      <c r="C1005" s="2296"/>
      <c r="D1005" s="2296"/>
      <c r="E1005" s="1456"/>
      <c r="R1005" s="1457"/>
      <c r="S1005" s="1457"/>
      <c r="T1005" s="1457"/>
      <c r="U1005" s="1457"/>
      <c r="V1005" s="1457"/>
      <c r="W1005" s="1457"/>
      <c r="X1005" s="1457"/>
      <c r="Y1005" s="1457"/>
    </row>
    <row r="1006" spans="1:25" x14ac:dyDescent="0.2">
      <c r="A1006" s="2296"/>
      <c r="B1006" s="2296"/>
      <c r="C1006" s="2296"/>
      <c r="D1006" s="2296"/>
      <c r="E1006" s="1456"/>
      <c r="R1006" s="1457"/>
      <c r="S1006" s="1457"/>
      <c r="T1006" s="1457"/>
      <c r="U1006" s="1457"/>
      <c r="V1006" s="1457"/>
      <c r="W1006" s="1457"/>
      <c r="X1006" s="1457"/>
      <c r="Y1006" s="1457"/>
    </row>
    <row r="1007" spans="1:25" x14ac:dyDescent="0.2">
      <c r="A1007" s="2296"/>
      <c r="B1007" s="2296"/>
      <c r="C1007" s="2296"/>
      <c r="D1007" s="2296"/>
      <c r="E1007" s="1456"/>
      <c r="R1007" s="1457"/>
      <c r="S1007" s="1457"/>
      <c r="T1007" s="1457"/>
      <c r="U1007" s="1457"/>
      <c r="V1007" s="1457"/>
      <c r="W1007" s="1457"/>
      <c r="X1007" s="1457"/>
      <c r="Y1007" s="1457"/>
    </row>
    <row r="1008" spans="1:25" x14ac:dyDescent="0.2">
      <c r="A1008" s="2296"/>
      <c r="B1008" s="2296"/>
      <c r="C1008" s="2296"/>
      <c r="D1008" s="2296"/>
      <c r="E1008" s="1456"/>
      <c r="R1008" s="1457"/>
      <c r="S1008" s="1457"/>
      <c r="T1008" s="1457"/>
      <c r="U1008" s="1457"/>
      <c r="V1008" s="1457"/>
      <c r="W1008" s="1457"/>
      <c r="X1008" s="1457"/>
      <c r="Y1008" s="1457"/>
    </row>
    <row r="1009" spans="1:25" x14ac:dyDescent="0.2">
      <c r="A1009" s="2296"/>
      <c r="B1009" s="2296"/>
      <c r="C1009" s="2296"/>
      <c r="D1009" s="2296"/>
      <c r="E1009" s="1456"/>
      <c r="R1009" s="1457"/>
      <c r="S1009" s="1457"/>
      <c r="T1009" s="1457"/>
      <c r="U1009" s="1457"/>
      <c r="V1009" s="1457"/>
      <c r="W1009" s="1457"/>
      <c r="X1009" s="1457"/>
      <c r="Y1009" s="1457"/>
    </row>
    <row r="1010" spans="1:25" x14ac:dyDescent="0.2">
      <c r="A1010" s="2296"/>
      <c r="B1010" s="2296"/>
      <c r="C1010" s="2296"/>
      <c r="D1010" s="2296"/>
      <c r="E1010" s="1456"/>
      <c r="R1010" s="1457"/>
      <c r="S1010" s="1457"/>
      <c r="T1010" s="1457"/>
      <c r="U1010" s="1457"/>
      <c r="V1010" s="1457"/>
      <c r="W1010" s="1457"/>
      <c r="X1010" s="1457"/>
      <c r="Y1010" s="1457"/>
    </row>
    <row r="1011" spans="1:25" x14ac:dyDescent="0.2">
      <c r="A1011" s="2296"/>
      <c r="B1011" s="2296"/>
      <c r="C1011" s="2296"/>
      <c r="D1011" s="2296"/>
      <c r="E1011" s="1456"/>
      <c r="R1011" s="1457"/>
      <c r="S1011" s="1457"/>
      <c r="T1011" s="1457"/>
      <c r="U1011" s="1457"/>
      <c r="V1011" s="1457"/>
      <c r="W1011" s="1457"/>
      <c r="X1011" s="1457"/>
      <c r="Y1011" s="1457"/>
    </row>
    <row r="1012" spans="1:25" x14ac:dyDescent="0.2">
      <c r="A1012" s="2296"/>
      <c r="B1012" s="2296"/>
      <c r="C1012" s="2296"/>
      <c r="D1012" s="2296"/>
      <c r="E1012" s="1456"/>
      <c r="R1012" s="1457"/>
      <c r="S1012" s="1457"/>
      <c r="T1012" s="1457"/>
      <c r="U1012" s="1457"/>
      <c r="V1012" s="1457"/>
      <c r="W1012" s="1457"/>
      <c r="X1012" s="1457"/>
      <c r="Y1012" s="1457"/>
    </row>
    <row r="1013" spans="1:25" x14ac:dyDescent="0.2">
      <c r="A1013" s="2296"/>
      <c r="B1013" s="2296"/>
      <c r="C1013" s="2296"/>
      <c r="D1013" s="2296"/>
      <c r="E1013" s="1456"/>
      <c r="R1013" s="1457"/>
      <c r="S1013" s="1457"/>
      <c r="T1013" s="1457"/>
      <c r="U1013" s="1457"/>
      <c r="V1013" s="1457"/>
      <c r="W1013" s="1457"/>
      <c r="X1013" s="1457"/>
      <c r="Y1013" s="1457"/>
    </row>
    <row r="1014" spans="1:25" x14ac:dyDescent="0.2">
      <c r="A1014" s="2296"/>
      <c r="B1014" s="2296"/>
      <c r="C1014" s="2296"/>
      <c r="D1014" s="2296"/>
      <c r="E1014" s="1456"/>
      <c r="R1014" s="1457"/>
      <c r="S1014" s="1457"/>
      <c r="T1014" s="1457"/>
      <c r="U1014" s="1457"/>
      <c r="V1014" s="1457"/>
      <c r="W1014" s="1457"/>
      <c r="X1014" s="1457"/>
      <c r="Y1014" s="1457"/>
    </row>
    <row r="1015" spans="1:25" x14ac:dyDescent="0.2">
      <c r="A1015" s="2296"/>
      <c r="B1015" s="2296"/>
      <c r="C1015" s="2296"/>
      <c r="D1015" s="2296"/>
      <c r="E1015" s="1456"/>
      <c r="R1015" s="1457"/>
      <c r="S1015" s="1457"/>
      <c r="T1015" s="1457"/>
      <c r="U1015" s="1457"/>
      <c r="V1015" s="1457"/>
      <c r="W1015" s="1457"/>
      <c r="X1015" s="1457"/>
      <c r="Y1015" s="1457"/>
    </row>
    <row r="1016" spans="1:25" x14ac:dyDescent="0.2">
      <c r="A1016" s="2296"/>
      <c r="B1016" s="2296"/>
      <c r="C1016" s="2296"/>
      <c r="D1016" s="2296"/>
      <c r="E1016" s="1456"/>
      <c r="R1016" s="1457"/>
      <c r="S1016" s="1457"/>
      <c r="T1016" s="1457"/>
      <c r="U1016" s="1457"/>
      <c r="V1016" s="1457"/>
      <c r="W1016" s="1457"/>
      <c r="X1016" s="1457"/>
      <c r="Y1016" s="1457"/>
    </row>
    <row r="1017" spans="1:25" x14ac:dyDescent="0.2">
      <c r="A1017" s="2296"/>
      <c r="B1017" s="2296"/>
      <c r="C1017" s="2296"/>
      <c r="D1017" s="2296"/>
      <c r="E1017" s="1456"/>
      <c r="R1017" s="1457"/>
      <c r="S1017" s="1457"/>
      <c r="T1017" s="1457"/>
      <c r="U1017" s="1457"/>
      <c r="V1017" s="1457"/>
      <c r="W1017" s="1457"/>
      <c r="X1017" s="1457"/>
      <c r="Y1017" s="1457"/>
    </row>
    <row r="1018" spans="1:25" x14ac:dyDescent="0.2">
      <c r="A1018" s="2296"/>
      <c r="B1018" s="2296"/>
      <c r="C1018" s="2296"/>
      <c r="D1018" s="2296"/>
      <c r="E1018" s="1456"/>
      <c r="R1018" s="1457"/>
      <c r="S1018" s="1457"/>
      <c r="T1018" s="1457"/>
      <c r="U1018" s="1457"/>
      <c r="V1018" s="1457"/>
      <c r="W1018" s="1457"/>
      <c r="X1018" s="1457"/>
      <c r="Y1018" s="1457"/>
    </row>
    <row r="1019" spans="1:25" x14ac:dyDescent="0.2">
      <c r="A1019" s="2296"/>
      <c r="B1019" s="2296"/>
      <c r="C1019" s="2296"/>
      <c r="D1019" s="2296"/>
      <c r="E1019" s="1456"/>
      <c r="R1019" s="1457"/>
      <c r="S1019" s="1457"/>
      <c r="T1019" s="1457"/>
      <c r="U1019" s="1457"/>
      <c r="V1019" s="1457"/>
      <c r="W1019" s="1457"/>
      <c r="X1019" s="1457"/>
      <c r="Y1019" s="1457"/>
    </row>
    <row r="1020" spans="1:25" x14ac:dyDescent="0.2">
      <c r="A1020" s="2296"/>
      <c r="B1020" s="2296"/>
      <c r="C1020" s="2296"/>
      <c r="D1020" s="2296"/>
      <c r="E1020" s="1456"/>
      <c r="R1020" s="1457"/>
      <c r="S1020" s="1457"/>
      <c r="T1020" s="1457"/>
      <c r="U1020" s="1457"/>
      <c r="V1020" s="1457"/>
      <c r="W1020" s="1457"/>
      <c r="X1020" s="1457"/>
      <c r="Y1020" s="1457"/>
    </row>
    <row r="1021" spans="1:25" x14ac:dyDescent="0.2">
      <c r="A1021" s="2296"/>
      <c r="B1021" s="2296"/>
      <c r="C1021" s="2296"/>
      <c r="D1021" s="2296"/>
      <c r="E1021" s="1456"/>
      <c r="R1021" s="1457"/>
      <c r="S1021" s="1457"/>
      <c r="T1021" s="1457"/>
      <c r="U1021" s="1457"/>
      <c r="V1021" s="1457"/>
      <c r="W1021" s="1457"/>
      <c r="X1021" s="1457"/>
      <c r="Y1021" s="1457"/>
    </row>
    <row r="1022" spans="1:25" x14ac:dyDescent="0.2">
      <c r="A1022" s="2296"/>
      <c r="B1022" s="2296"/>
      <c r="C1022" s="2296"/>
      <c r="D1022" s="2296"/>
      <c r="E1022" s="1456"/>
      <c r="R1022" s="1457"/>
      <c r="S1022" s="1457"/>
      <c r="T1022" s="1457"/>
      <c r="U1022" s="1457"/>
      <c r="V1022" s="1457"/>
      <c r="W1022" s="1457"/>
      <c r="X1022" s="1457"/>
      <c r="Y1022" s="1457"/>
    </row>
    <row r="1023" spans="1:25" x14ac:dyDescent="0.2">
      <c r="A1023" s="2296"/>
      <c r="B1023" s="2296"/>
      <c r="C1023" s="2296"/>
      <c r="D1023" s="2296"/>
      <c r="E1023" s="1456"/>
      <c r="R1023" s="1457"/>
      <c r="S1023" s="1457"/>
      <c r="T1023" s="1457"/>
      <c r="U1023" s="1457"/>
      <c r="V1023" s="1457"/>
      <c r="W1023" s="1457"/>
      <c r="X1023" s="1457"/>
      <c r="Y1023" s="1457"/>
    </row>
    <row r="1024" spans="1:25" x14ac:dyDescent="0.2">
      <c r="A1024" s="2296"/>
      <c r="B1024" s="2296"/>
      <c r="C1024" s="2296"/>
      <c r="D1024" s="2296"/>
      <c r="E1024" s="1456"/>
      <c r="R1024" s="1457"/>
      <c r="S1024" s="1457"/>
      <c r="T1024" s="1457"/>
      <c r="U1024" s="1457"/>
      <c r="V1024" s="1457"/>
      <c r="W1024" s="1457"/>
      <c r="X1024" s="1457"/>
      <c r="Y1024" s="1457"/>
    </row>
    <row r="1025" spans="1:25" x14ac:dyDescent="0.2">
      <c r="A1025" s="2296"/>
      <c r="B1025" s="2296"/>
      <c r="C1025" s="2296"/>
      <c r="D1025" s="2296"/>
      <c r="E1025" s="1456"/>
      <c r="R1025" s="1457"/>
      <c r="S1025" s="1457"/>
      <c r="T1025" s="1457"/>
      <c r="U1025" s="1457"/>
      <c r="V1025" s="1457"/>
      <c r="W1025" s="1457"/>
      <c r="X1025" s="1457"/>
      <c r="Y1025" s="1457"/>
    </row>
    <row r="1026" spans="1:25" x14ac:dyDescent="0.2">
      <c r="A1026" s="2296"/>
      <c r="B1026" s="2296"/>
      <c r="C1026" s="2296"/>
      <c r="D1026" s="2296"/>
      <c r="E1026" s="1456"/>
      <c r="R1026" s="1457"/>
      <c r="S1026" s="1457"/>
      <c r="T1026" s="1457"/>
      <c r="U1026" s="1457"/>
      <c r="V1026" s="1457"/>
      <c r="W1026" s="1457"/>
      <c r="X1026" s="1457"/>
      <c r="Y1026" s="1457"/>
    </row>
    <row r="1027" spans="1:25" x14ac:dyDescent="0.2">
      <c r="A1027" s="2296"/>
      <c r="B1027" s="2296"/>
      <c r="C1027" s="2296"/>
      <c r="D1027" s="2296"/>
      <c r="E1027" s="1456"/>
      <c r="R1027" s="1457"/>
      <c r="S1027" s="1457"/>
      <c r="T1027" s="1457"/>
      <c r="U1027" s="1457"/>
      <c r="V1027" s="1457"/>
      <c r="W1027" s="1457"/>
      <c r="X1027" s="1457"/>
      <c r="Y1027" s="1457"/>
    </row>
    <row r="1028" spans="1:25" x14ac:dyDescent="0.2">
      <c r="A1028" s="2296"/>
      <c r="B1028" s="2296"/>
      <c r="C1028" s="2296"/>
      <c r="D1028" s="2296"/>
      <c r="E1028" s="1456"/>
      <c r="R1028" s="1457"/>
      <c r="S1028" s="1457"/>
      <c r="T1028" s="1457"/>
      <c r="U1028" s="1457"/>
      <c r="V1028" s="1457"/>
      <c r="W1028" s="1457"/>
      <c r="X1028" s="1457"/>
      <c r="Y1028" s="1457"/>
    </row>
    <row r="1029" spans="1:25" x14ac:dyDescent="0.2">
      <c r="A1029" s="2296"/>
      <c r="B1029" s="2296"/>
      <c r="C1029" s="2296"/>
      <c r="D1029" s="2296"/>
      <c r="E1029" s="1456"/>
      <c r="R1029" s="1457"/>
      <c r="S1029" s="1457"/>
      <c r="T1029" s="1457"/>
      <c r="U1029" s="1457"/>
      <c r="V1029" s="1457"/>
      <c r="W1029" s="1457"/>
      <c r="X1029" s="1457"/>
      <c r="Y1029" s="1457"/>
    </row>
    <row r="1030" spans="1:25" x14ac:dyDescent="0.2">
      <c r="A1030" s="2296"/>
      <c r="B1030" s="2296"/>
      <c r="C1030" s="2296"/>
      <c r="D1030" s="2296"/>
      <c r="E1030" s="1456"/>
      <c r="R1030" s="1457"/>
      <c r="S1030" s="1457"/>
      <c r="T1030" s="1457"/>
      <c r="U1030" s="1457"/>
      <c r="V1030" s="1457"/>
      <c r="W1030" s="1457"/>
      <c r="X1030" s="1457"/>
      <c r="Y1030" s="1457"/>
    </row>
    <row r="1031" spans="1:25" x14ac:dyDescent="0.2">
      <c r="A1031" s="2296"/>
      <c r="B1031" s="2296"/>
      <c r="C1031" s="2296"/>
      <c r="D1031" s="2296"/>
      <c r="E1031" s="1456"/>
      <c r="R1031" s="1457"/>
      <c r="S1031" s="1457"/>
      <c r="T1031" s="1457"/>
      <c r="U1031" s="1457"/>
      <c r="V1031" s="1457"/>
      <c r="W1031" s="1457"/>
      <c r="X1031" s="1457"/>
      <c r="Y1031" s="1457"/>
    </row>
    <row r="1032" spans="1:25" x14ac:dyDescent="0.2">
      <c r="A1032" s="2296"/>
      <c r="B1032" s="2296"/>
      <c r="C1032" s="2296"/>
      <c r="D1032" s="2296"/>
      <c r="E1032" s="1456"/>
      <c r="R1032" s="1457"/>
      <c r="S1032" s="1457"/>
      <c r="T1032" s="1457"/>
      <c r="U1032" s="1457"/>
      <c r="V1032" s="1457"/>
      <c r="W1032" s="1457"/>
      <c r="X1032" s="1457"/>
      <c r="Y1032" s="1457"/>
    </row>
    <row r="1033" spans="1:25" x14ac:dyDescent="0.2">
      <c r="A1033" s="2296"/>
      <c r="B1033" s="2296"/>
      <c r="C1033" s="2296"/>
      <c r="D1033" s="2296"/>
      <c r="E1033" s="1456"/>
      <c r="R1033" s="1457"/>
      <c r="S1033" s="1457"/>
      <c r="T1033" s="1457"/>
      <c r="U1033" s="1457"/>
      <c r="V1033" s="1457"/>
      <c r="W1033" s="1457"/>
      <c r="X1033" s="1457"/>
      <c r="Y1033" s="1457"/>
    </row>
    <row r="1034" spans="1:25" x14ac:dyDescent="0.2">
      <c r="A1034" s="2296"/>
      <c r="B1034" s="2296"/>
      <c r="C1034" s="2296"/>
      <c r="D1034" s="2296"/>
      <c r="E1034" s="1456"/>
      <c r="R1034" s="1457"/>
      <c r="S1034" s="1457"/>
      <c r="T1034" s="1457"/>
      <c r="U1034" s="1457"/>
      <c r="V1034" s="1457"/>
      <c r="W1034" s="1457"/>
      <c r="X1034" s="1457"/>
      <c r="Y1034" s="1457"/>
    </row>
    <row r="1035" spans="1:25" x14ac:dyDescent="0.2">
      <c r="A1035" s="2296"/>
      <c r="B1035" s="2296"/>
      <c r="C1035" s="2296"/>
      <c r="D1035" s="2296"/>
      <c r="E1035" s="1456"/>
      <c r="R1035" s="1457"/>
      <c r="S1035" s="1457"/>
      <c r="T1035" s="1457"/>
      <c r="U1035" s="1457"/>
      <c r="V1035" s="1457"/>
      <c r="W1035" s="1457"/>
      <c r="X1035" s="1457"/>
      <c r="Y1035" s="1457"/>
    </row>
    <row r="1036" spans="1:25" x14ac:dyDescent="0.2">
      <c r="A1036" s="2296"/>
      <c r="B1036" s="2296"/>
      <c r="C1036" s="2296"/>
      <c r="D1036" s="2296"/>
      <c r="E1036" s="1456"/>
      <c r="R1036" s="1457"/>
      <c r="S1036" s="1457"/>
      <c r="T1036" s="1457"/>
      <c r="U1036" s="1457"/>
      <c r="V1036" s="1457"/>
      <c r="W1036" s="1457"/>
      <c r="X1036" s="1457"/>
      <c r="Y1036" s="1457"/>
    </row>
    <row r="1037" spans="1:25" x14ac:dyDescent="0.2">
      <c r="A1037" s="2296"/>
      <c r="B1037" s="2296"/>
      <c r="C1037" s="2296"/>
      <c r="D1037" s="2296"/>
      <c r="E1037" s="1456"/>
      <c r="R1037" s="1457"/>
      <c r="S1037" s="1457"/>
      <c r="T1037" s="1457"/>
      <c r="U1037" s="1457"/>
      <c r="V1037" s="1457"/>
      <c r="W1037" s="1457"/>
      <c r="X1037" s="1457"/>
      <c r="Y1037" s="1457"/>
    </row>
    <row r="1038" spans="1:25" x14ac:dyDescent="0.2">
      <c r="A1038" s="2296"/>
      <c r="B1038" s="2296"/>
      <c r="C1038" s="2296"/>
      <c r="D1038" s="2296"/>
      <c r="E1038" s="1456"/>
      <c r="R1038" s="1457"/>
      <c r="S1038" s="1457"/>
      <c r="T1038" s="1457"/>
      <c r="U1038" s="1457"/>
      <c r="V1038" s="1457"/>
      <c r="W1038" s="1457"/>
      <c r="X1038" s="1457"/>
      <c r="Y1038" s="1457"/>
    </row>
    <row r="1039" spans="1:25" x14ac:dyDescent="0.2">
      <c r="A1039" s="2296"/>
      <c r="B1039" s="2296"/>
      <c r="C1039" s="2296"/>
      <c r="D1039" s="2296"/>
      <c r="E1039" s="1456"/>
      <c r="R1039" s="1457"/>
      <c r="S1039" s="1457"/>
      <c r="T1039" s="1457"/>
      <c r="U1039" s="1457"/>
      <c r="V1039" s="1457"/>
      <c r="W1039" s="1457"/>
      <c r="X1039" s="1457"/>
      <c r="Y1039" s="1457"/>
    </row>
    <row r="1040" spans="1:25" x14ac:dyDescent="0.2">
      <c r="A1040" s="2296"/>
      <c r="B1040" s="2296"/>
      <c r="C1040" s="2296"/>
      <c r="D1040" s="2296"/>
      <c r="E1040" s="1456"/>
      <c r="R1040" s="1457"/>
      <c r="S1040" s="1457"/>
      <c r="T1040" s="1457"/>
      <c r="U1040" s="1457"/>
      <c r="V1040" s="1457"/>
      <c r="W1040" s="1457"/>
      <c r="X1040" s="1457"/>
      <c r="Y1040" s="1457"/>
    </row>
    <row r="1041" spans="1:25" x14ac:dyDescent="0.2">
      <c r="A1041" s="2296"/>
      <c r="B1041" s="2296"/>
      <c r="C1041" s="2296"/>
      <c r="D1041" s="2296"/>
      <c r="E1041" s="1456"/>
      <c r="R1041" s="1457"/>
      <c r="S1041" s="1457"/>
      <c r="T1041" s="1457"/>
      <c r="U1041" s="1457"/>
      <c r="V1041" s="1457"/>
      <c r="W1041" s="1457"/>
      <c r="X1041" s="1457"/>
      <c r="Y1041" s="1457"/>
    </row>
    <row r="1042" spans="1:25" x14ac:dyDescent="0.2">
      <c r="A1042" s="2296"/>
      <c r="B1042" s="2296"/>
      <c r="C1042" s="2296"/>
      <c r="D1042" s="2296"/>
      <c r="E1042" s="1456"/>
      <c r="R1042" s="1457"/>
      <c r="S1042" s="1457"/>
      <c r="T1042" s="1457"/>
      <c r="U1042" s="1457"/>
      <c r="V1042" s="1457"/>
      <c r="W1042" s="1457"/>
      <c r="X1042" s="1457"/>
      <c r="Y1042" s="1457"/>
    </row>
    <row r="1043" spans="1:25" x14ac:dyDescent="0.2">
      <c r="A1043" s="2296"/>
      <c r="B1043" s="2296"/>
      <c r="C1043" s="2296"/>
      <c r="D1043" s="2296"/>
      <c r="E1043" s="1456"/>
      <c r="R1043" s="1457"/>
      <c r="S1043" s="1457"/>
      <c r="T1043" s="1457"/>
      <c r="U1043" s="1457"/>
      <c r="V1043" s="1457"/>
      <c r="W1043" s="1457"/>
      <c r="X1043" s="1457"/>
      <c r="Y1043" s="1457"/>
    </row>
    <row r="1044" spans="1:25" x14ac:dyDescent="0.2">
      <c r="A1044" s="2296"/>
      <c r="B1044" s="2296"/>
      <c r="C1044" s="2296"/>
      <c r="D1044" s="2296"/>
      <c r="E1044" s="1456"/>
      <c r="R1044" s="1457"/>
      <c r="S1044" s="1457"/>
      <c r="T1044" s="1457"/>
      <c r="U1044" s="1457"/>
      <c r="V1044" s="1457"/>
      <c r="W1044" s="1457"/>
      <c r="X1044" s="1457"/>
      <c r="Y1044" s="1457"/>
    </row>
    <row r="1045" spans="1:25" x14ac:dyDescent="0.2">
      <c r="A1045" s="2296"/>
      <c r="B1045" s="2296"/>
      <c r="C1045" s="2296"/>
      <c r="D1045" s="2296"/>
      <c r="E1045" s="1456"/>
      <c r="R1045" s="1457"/>
      <c r="S1045" s="1457"/>
      <c r="T1045" s="1457"/>
      <c r="U1045" s="1457"/>
      <c r="V1045" s="1457"/>
      <c r="W1045" s="1457"/>
      <c r="X1045" s="1457"/>
      <c r="Y1045" s="1457"/>
    </row>
    <row r="1046" spans="1:25" x14ac:dyDescent="0.2">
      <c r="A1046" s="2296"/>
      <c r="B1046" s="2296"/>
      <c r="C1046" s="2296"/>
      <c r="D1046" s="2296"/>
      <c r="E1046" s="1456"/>
      <c r="R1046" s="1457"/>
      <c r="S1046" s="1457"/>
      <c r="T1046" s="1457"/>
      <c r="U1046" s="1457"/>
      <c r="V1046" s="1457"/>
      <c r="W1046" s="1457"/>
      <c r="X1046" s="1457"/>
      <c r="Y1046" s="1457"/>
    </row>
    <row r="1047" spans="1:25" x14ac:dyDescent="0.2">
      <c r="A1047" s="2296"/>
      <c r="B1047" s="2296"/>
      <c r="C1047" s="2296"/>
      <c r="D1047" s="2296"/>
      <c r="E1047" s="1456"/>
      <c r="R1047" s="1457"/>
      <c r="S1047" s="1457"/>
      <c r="T1047" s="1457"/>
      <c r="U1047" s="1457"/>
      <c r="V1047" s="1457"/>
      <c r="W1047" s="1457"/>
      <c r="X1047" s="1457"/>
      <c r="Y1047" s="1457"/>
    </row>
    <row r="1048" spans="1:25" x14ac:dyDescent="0.2">
      <c r="A1048" s="2296"/>
      <c r="B1048" s="2296"/>
      <c r="C1048" s="2296"/>
      <c r="D1048" s="2296"/>
      <c r="E1048" s="1456"/>
      <c r="R1048" s="1457"/>
      <c r="S1048" s="1457"/>
      <c r="T1048" s="1457"/>
      <c r="U1048" s="1457"/>
      <c r="V1048" s="1457"/>
      <c r="W1048" s="1457"/>
      <c r="X1048" s="1457"/>
      <c r="Y1048" s="1457"/>
    </row>
    <row r="1049" spans="1:25" x14ac:dyDescent="0.2">
      <c r="A1049" s="2296"/>
      <c r="B1049" s="2296"/>
      <c r="C1049" s="2296"/>
      <c r="D1049" s="2296"/>
      <c r="E1049" s="1456"/>
      <c r="R1049" s="1457"/>
      <c r="S1049" s="1457"/>
      <c r="T1049" s="1457"/>
      <c r="U1049" s="1457"/>
      <c r="V1049" s="1457"/>
      <c r="W1049" s="1457"/>
      <c r="X1049" s="1457"/>
      <c r="Y1049" s="1457"/>
    </row>
    <row r="1050" spans="1:25" x14ac:dyDescent="0.2">
      <c r="A1050" s="2296"/>
      <c r="B1050" s="2296"/>
      <c r="C1050" s="2296"/>
      <c r="D1050" s="2296"/>
      <c r="E1050" s="1456"/>
      <c r="R1050" s="1457"/>
      <c r="S1050" s="1457"/>
      <c r="T1050" s="1457"/>
      <c r="U1050" s="1457"/>
      <c r="V1050" s="1457"/>
      <c r="W1050" s="1457"/>
      <c r="X1050" s="1457"/>
      <c r="Y1050" s="1457"/>
    </row>
    <row r="1051" spans="1:25" x14ac:dyDescent="0.2">
      <c r="A1051" s="2296"/>
      <c r="B1051" s="2296"/>
      <c r="C1051" s="2296"/>
      <c r="D1051" s="2296"/>
      <c r="E1051" s="1456"/>
      <c r="R1051" s="1457"/>
      <c r="S1051" s="1457"/>
      <c r="T1051" s="1457"/>
      <c r="U1051" s="1457"/>
      <c r="V1051" s="1457"/>
      <c r="W1051" s="1457"/>
      <c r="X1051" s="1457"/>
      <c r="Y1051" s="1457"/>
    </row>
    <row r="1052" spans="1:25" x14ac:dyDescent="0.2">
      <c r="A1052" s="2296"/>
      <c r="B1052" s="2296"/>
      <c r="C1052" s="2296"/>
      <c r="D1052" s="2296"/>
      <c r="E1052" s="1456"/>
      <c r="R1052" s="1457"/>
      <c r="S1052" s="1457"/>
      <c r="T1052" s="1457"/>
      <c r="U1052" s="1457"/>
      <c r="V1052" s="1457"/>
      <c r="W1052" s="1457"/>
      <c r="X1052" s="1457"/>
      <c r="Y1052" s="1457"/>
    </row>
    <row r="1053" spans="1:25" x14ac:dyDescent="0.2">
      <c r="A1053" s="2296"/>
      <c r="B1053" s="2296"/>
      <c r="C1053" s="2296"/>
      <c r="D1053" s="2296"/>
      <c r="E1053" s="1456"/>
      <c r="R1053" s="1457"/>
      <c r="S1053" s="1457"/>
      <c r="T1053" s="1457"/>
      <c r="U1053" s="1457"/>
      <c r="V1053" s="1457"/>
      <c r="W1053" s="1457"/>
      <c r="X1053" s="1457"/>
      <c r="Y1053" s="1457"/>
    </row>
    <row r="1054" spans="1:25" x14ac:dyDescent="0.2">
      <c r="A1054" s="2296"/>
      <c r="B1054" s="2296"/>
      <c r="C1054" s="2296"/>
      <c r="D1054" s="2296"/>
      <c r="E1054" s="1456"/>
      <c r="R1054" s="1457"/>
      <c r="S1054" s="1457"/>
      <c r="T1054" s="1457"/>
      <c r="U1054" s="1457"/>
      <c r="V1054" s="1457"/>
      <c r="W1054" s="1457"/>
      <c r="X1054" s="1457"/>
      <c r="Y1054" s="1457"/>
    </row>
    <row r="1055" spans="1:25" x14ac:dyDescent="0.2">
      <c r="A1055" s="2296"/>
      <c r="B1055" s="2296"/>
      <c r="C1055" s="2296"/>
      <c r="D1055" s="2296"/>
      <c r="E1055" s="1456"/>
      <c r="R1055" s="1457"/>
      <c r="S1055" s="1457"/>
      <c r="T1055" s="1457"/>
      <c r="U1055" s="1457"/>
      <c r="V1055" s="1457"/>
      <c r="W1055" s="1457"/>
      <c r="X1055" s="1457"/>
      <c r="Y1055" s="1457"/>
    </row>
    <row r="1056" spans="1:25" x14ac:dyDescent="0.2">
      <c r="A1056" s="2296"/>
      <c r="B1056" s="2296"/>
      <c r="C1056" s="2296"/>
      <c r="D1056" s="2296"/>
      <c r="E1056" s="1456"/>
      <c r="R1056" s="1457"/>
      <c r="S1056" s="1457"/>
      <c r="T1056" s="1457"/>
      <c r="U1056" s="1457"/>
      <c r="V1056" s="1457"/>
      <c r="W1056" s="1457"/>
      <c r="X1056" s="1457"/>
      <c r="Y1056" s="1457"/>
    </row>
    <row r="1057" spans="1:25" x14ac:dyDescent="0.2">
      <c r="A1057" s="2296"/>
      <c r="B1057" s="2296"/>
      <c r="C1057" s="2296"/>
      <c r="D1057" s="2296"/>
      <c r="E1057" s="1456"/>
      <c r="R1057" s="1457"/>
      <c r="S1057" s="1457"/>
      <c r="T1057" s="1457"/>
      <c r="U1057" s="1457"/>
      <c r="V1057" s="1457"/>
      <c r="W1057" s="1457"/>
      <c r="X1057" s="1457"/>
      <c r="Y1057" s="1457"/>
    </row>
    <row r="1058" spans="1:25" x14ac:dyDescent="0.2">
      <c r="A1058" s="2296"/>
      <c r="B1058" s="2296"/>
      <c r="C1058" s="2296"/>
      <c r="D1058" s="2296"/>
      <c r="E1058" s="1456"/>
      <c r="R1058" s="1457"/>
      <c r="S1058" s="1457"/>
      <c r="T1058" s="1457"/>
      <c r="U1058" s="1457"/>
      <c r="V1058" s="1457"/>
      <c r="W1058" s="1457"/>
      <c r="X1058" s="1457"/>
      <c r="Y1058" s="1457"/>
    </row>
    <row r="1059" spans="1:25" x14ac:dyDescent="0.2">
      <c r="A1059" s="2296"/>
      <c r="B1059" s="2296"/>
      <c r="C1059" s="2296"/>
      <c r="D1059" s="2296"/>
      <c r="E1059" s="1456"/>
      <c r="R1059" s="1457"/>
      <c r="S1059" s="1457"/>
      <c r="T1059" s="1457"/>
      <c r="U1059" s="1457"/>
      <c r="V1059" s="1457"/>
      <c r="W1059" s="1457"/>
      <c r="X1059" s="1457"/>
      <c r="Y1059" s="1457"/>
    </row>
    <row r="1060" spans="1:25" x14ac:dyDescent="0.2">
      <c r="A1060" s="2296"/>
      <c r="B1060" s="2296"/>
      <c r="C1060" s="2296"/>
      <c r="D1060" s="2296"/>
      <c r="E1060" s="1456"/>
      <c r="R1060" s="1457"/>
      <c r="S1060" s="1457"/>
      <c r="T1060" s="1457"/>
      <c r="U1060" s="1457"/>
      <c r="V1060" s="1457"/>
      <c r="W1060" s="1457"/>
      <c r="X1060" s="1457"/>
      <c r="Y1060" s="1457"/>
    </row>
    <row r="1061" spans="1:25" x14ac:dyDescent="0.2">
      <c r="A1061" s="2296"/>
      <c r="B1061" s="2296"/>
      <c r="C1061" s="2296"/>
      <c r="D1061" s="2296"/>
      <c r="E1061" s="1456"/>
      <c r="R1061" s="1457"/>
      <c r="S1061" s="1457"/>
      <c r="T1061" s="1457"/>
      <c r="U1061" s="1457"/>
      <c r="V1061" s="1457"/>
      <c r="W1061" s="1457"/>
      <c r="X1061" s="1457"/>
      <c r="Y1061" s="1457"/>
    </row>
    <row r="1062" spans="1:25" x14ac:dyDescent="0.2">
      <c r="A1062" s="2296"/>
      <c r="B1062" s="2296"/>
      <c r="C1062" s="2296"/>
      <c r="D1062" s="2296"/>
      <c r="E1062" s="1456"/>
      <c r="R1062" s="1457"/>
      <c r="S1062" s="1457"/>
      <c r="T1062" s="1457"/>
      <c r="U1062" s="1457"/>
      <c r="V1062" s="1457"/>
      <c r="W1062" s="1457"/>
      <c r="X1062" s="1457"/>
      <c r="Y1062" s="1457"/>
    </row>
    <row r="1063" spans="1:25" x14ac:dyDescent="0.2">
      <c r="A1063" s="2296"/>
      <c r="B1063" s="2296"/>
      <c r="C1063" s="2296"/>
      <c r="D1063" s="2296"/>
      <c r="E1063" s="1456"/>
      <c r="R1063" s="1457"/>
      <c r="S1063" s="1457"/>
      <c r="T1063" s="1457"/>
      <c r="U1063" s="1457"/>
      <c r="V1063" s="1457"/>
      <c r="W1063" s="1457"/>
      <c r="X1063" s="1457"/>
      <c r="Y1063" s="1457"/>
    </row>
    <row r="1064" spans="1:25" x14ac:dyDescent="0.2">
      <c r="A1064" s="2296"/>
      <c r="B1064" s="2296"/>
      <c r="C1064" s="2296"/>
      <c r="D1064" s="2296"/>
      <c r="E1064" s="1456"/>
      <c r="R1064" s="1457"/>
      <c r="S1064" s="1457"/>
      <c r="T1064" s="1457"/>
      <c r="U1064" s="1457"/>
      <c r="V1064" s="1457"/>
      <c r="W1064" s="1457"/>
      <c r="X1064" s="1457"/>
      <c r="Y1064" s="1457"/>
    </row>
    <row r="1065" spans="1:25" x14ac:dyDescent="0.2">
      <c r="A1065" s="2296"/>
      <c r="B1065" s="2296"/>
      <c r="C1065" s="2296"/>
      <c r="D1065" s="2296"/>
      <c r="E1065" s="1456"/>
      <c r="R1065" s="1457"/>
      <c r="S1065" s="1457"/>
      <c r="T1065" s="1457"/>
      <c r="U1065" s="1457"/>
      <c r="V1065" s="1457"/>
      <c r="W1065" s="1457"/>
      <c r="X1065" s="1457"/>
      <c r="Y1065" s="1457"/>
    </row>
    <row r="1066" spans="1:25" x14ac:dyDescent="0.2">
      <c r="A1066" s="2296"/>
      <c r="B1066" s="2296"/>
      <c r="C1066" s="2296"/>
      <c r="D1066" s="2296"/>
      <c r="E1066" s="1456"/>
      <c r="R1066" s="1457"/>
      <c r="S1066" s="1457"/>
      <c r="T1066" s="1457"/>
      <c r="U1066" s="1457"/>
      <c r="V1066" s="1457"/>
      <c r="W1066" s="1457"/>
      <c r="X1066" s="1457"/>
      <c r="Y1066" s="1457"/>
    </row>
    <row r="1067" spans="1:25" x14ac:dyDescent="0.2">
      <c r="A1067" s="2296"/>
      <c r="B1067" s="2296"/>
      <c r="C1067" s="2296"/>
      <c r="D1067" s="2296"/>
      <c r="E1067" s="1456"/>
      <c r="R1067" s="1457"/>
      <c r="S1067" s="1457"/>
      <c r="T1067" s="1457"/>
      <c r="U1067" s="1457"/>
      <c r="V1067" s="1457"/>
      <c r="W1067" s="1457"/>
      <c r="X1067" s="1457"/>
      <c r="Y1067" s="1457"/>
    </row>
    <row r="1068" spans="1:25" x14ac:dyDescent="0.2">
      <c r="A1068" s="2296"/>
      <c r="B1068" s="2296"/>
      <c r="C1068" s="2296"/>
      <c r="D1068" s="2296"/>
      <c r="E1068" s="1456"/>
      <c r="R1068" s="1457"/>
      <c r="S1068" s="1457"/>
      <c r="T1068" s="1457"/>
      <c r="U1068" s="1457"/>
      <c r="V1068" s="1457"/>
      <c r="W1068" s="1457"/>
      <c r="X1068" s="1457"/>
      <c r="Y1068" s="1457"/>
    </row>
    <row r="1069" spans="1:25" x14ac:dyDescent="0.2">
      <c r="A1069" s="2296"/>
      <c r="B1069" s="2296"/>
      <c r="C1069" s="2296"/>
      <c r="D1069" s="2296"/>
      <c r="E1069" s="1456"/>
      <c r="R1069" s="1457"/>
      <c r="S1069" s="1457"/>
      <c r="T1069" s="1457"/>
      <c r="U1069" s="1457"/>
      <c r="V1069" s="1457"/>
      <c r="W1069" s="1457"/>
      <c r="X1069" s="1457"/>
      <c r="Y1069" s="1457"/>
    </row>
    <row r="1070" spans="1:25" x14ac:dyDescent="0.2">
      <c r="A1070" s="2296"/>
      <c r="B1070" s="2296"/>
      <c r="C1070" s="2296"/>
      <c r="D1070" s="2296"/>
      <c r="E1070" s="1456"/>
      <c r="R1070" s="1457"/>
      <c r="S1070" s="1457"/>
      <c r="T1070" s="1457"/>
      <c r="U1070" s="1457"/>
      <c r="V1070" s="1457"/>
      <c r="W1070" s="1457"/>
      <c r="X1070" s="1457"/>
      <c r="Y1070" s="1457"/>
    </row>
    <row r="1071" spans="1:25" x14ac:dyDescent="0.2">
      <c r="A1071" s="2296"/>
      <c r="B1071" s="2296"/>
      <c r="C1071" s="2296"/>
      <c r="D1071" s="2296"/>
      <c r="E1071" s="1456"/>
      <c r="R1071" s="1457"/>
      <c r="S1071" s="1457"/>
      <c r="T1071" s="1457"/>
      <c r="U1071" s="1457"/>
      <c r="V1071" s="1457"/>
      <c r="W1071" s="1457"/>
      <c r="X1071" s="1457"/>
      <c r="Y1071" s="1457"/>
    </row>
    <row r="1072" spans="1:25" x14ac:dyDescent="0.2">
      <c r="A1072" s="2296"/>
      <c r="B1072" s="2296"/>
      <c r="C1072" s="2296"/>
      <c r="D1072" s="2296"/>
      <c r="E1072" s="1456"/>
      <c r="R1072" s="1457"/>
      <c r="S1072" s="1457"/>
      <c r="T1072" s="1457"/>
      <c r="U1072" s="1457"/>
      <c r="V1072" s="1457"/>
      <c r="W1072" s="1457"/>
      <c r="X1072" s="1457"/>
      <c r="Y1072" s="1457"/>
    </row>
    <row r="1073" spans="1:25" x14ac:dyDescent="0.2">
      <c r="A1073" s="2296"/>
      <c r="B1073" s="2296"/>
      <c r="C1073" s="2296"/>
      <c r="D1073" s="2296"/>
      <c r="E1073" s="1456"/>
      <c r="R1073" s="1457"/>
      <c r="S1073" s="1457"/>
      <c r="T1073" s="1457"/>
      <c r="U1073" s="1457"/>
      <c r="V1073" s="1457"/>
      <c r="W1073" s="1457"/>
      <c r="X1073" s="1457"/>
      <c r="Y1073" s="1457"/>
    </row>
    <row r="1074" spans="1:25" x14ac:dyDescent="0.2">
      <c r="A1074" s="2296"/>
      <c r="B1074" s="2296"/>
      <c r="C1074" s="2296"/>
      <c r="D1074" s="2296"/>
      <c r="E1074" s="1456"/>
      <c r="R1074" s="1457"/>
      <c r="S1074" s="1457"/>
      <c r="T1074" s="1457"/>
      <c r="U1074" s="1457"/>
      <c r="V1074" s="1457"/>
      <c r="W1074" s="1457"/>
      <c r="X1074" s="1457"/>
      <c r="Y1074" s="1457"/>
    </row>
    <row r="1075" spans="1:25" x14ac:dyDescent="0.2">
      <c r="A1075" s="2296"/>
      <c r="B1075" s="2296"/>
      <c r="C1075" s="2296"/>
      <c r="D1075" s="2296"/>
      <c r="E1075" s="1456"/>
      <c r="R1075" s="1457"/>
      <c r="S1075" s="1457"/>
      <c r="T1075" s="1457"/>
      <c r="U1075" s="1457"/>
      <c r="V1075" s="1457"/>
      <c r="W1075" s="1457"/>
      <c r="X1075" s="1457"/>
      <c r="Y1075" s="1457"/>
    </row>
    <row r="1076" spans="1:25" x14ac:dyDescent="0.2">
      <c r="A1076" s="2296"/>
      <c r="B1076" s="2296"/>
      <c r="C1076" s="2296"/>
      <c r="D1076" s="2296"/>
      <c r="E1076" s="1456"/>
      <c r="R1076" s="1457"/>
      <c r="S1076" s="1457"/>
      <c r="T1076" s="1457"/>
      <c r="U1076" s="1457"/>
      <c r="V1076" s="1457"/>
      <c r="W1076" s="1457"/>
      <c r="X1076" s="1457"/>
      <c r="Y1076" s="1457"/>
    </row>
    <row r="1077" spans="1:25" x14ac:dyDescent="0.2">
      <c r="A1077" s="2296"/>
      <c r="B1077" s="2296"/>
      <c r="C1077" s="2296"/>
      <c r="D1077" s="2296"/>
      <c r="E1077" s="1456"/>
      <c r="R1077" s="1457"/>
      <c r="S1077" s="1457"/>
      <c r="T1077" s="1457"/>
      <c r="U1077" s="1457"/>
      <c r="V1077" s="1457"/>
      <c r="W1077" s="1457"/>
      <c r="X1077" s="1457"/>
      <c r="Y1077" s="1457"/>
    </row>
    <row r="1078" spans="1:25" x14ac:dyDescent="0.2">
      <c r="A1078" s="2296"/>
      <c r="B1078" s="2296"/>
      <c r="C1078" s="2296"/>
      <c r="D1078" s="2296"/>
      <c r="E1078" s="1456"/>
      <c r="R1078" s="1457"/>
      <c r="S1078" s="1457"/>
      <c r="T1078" s="1457"/>
      <c r="U1078" s="1457"/>
      <c r="V1078" s="1457"/>
      <c r="W1078" s="1457"/>
      <c r="X1078" s="1457"/>
      <c r="Y1078" s="1457"/>
    </row>
    <row r="1079" spans="1:25" x14ac:dyDescent="0.2">
      <c r="A1079" s="2296"/>
      <c r="B1079" s="2296"/>
      <c r="C1079" s="2296"/>
      <c r="D1079" s="2296"/>
      <c r="E1079" s="1456"/>
      <c r="R1079" s="1457"/>
      <c r="S1079" s="1457"/>
      <c r="T1079" s="1457"/>
      <c r="U1079" s="1457"/>
      <c r="V1079" s="1457"/>
      <c r="W1079" s="1457"/>
      <c r="X1079" s="1457"/>
      <c r="Y1079" s="1457"/>
    </row>
    <row r="1080" spans="1:25" x14ac:dyDescent="0.2">
      <c r="A1080" s="2296"/>
      <c r="B1080" s="2296"/>
      <c r="C1080" s="2296"/>
      <c r="D1080" s="2296"/>
      <c r="E1080" s="1456"/>
      <c r="R1080" s="1457"/>
      <c r="S1080" s="1457"/>
      <c r="T1080" s="1457"/>
      <c r="U1080" s="1457"/>
      <c r="V1080" s="1457"/>
      <c r="W1080" s="1457"/>
      <c r="X1080" s="1457"/>
      <c r="Y1080" s="1457"/>
    </row>
    <row r="1081" spans="1:25" x14ac:dyDescent="0.2">
      <c r="A1081" s="2296"/>
      <c r="B1081" s="2296"/>
      <c r="C1081" s="2296"/>
      <c r="D1081" s="2296"/>
      <c r="E1081" s="1456"/>
      <c r="R1081" s="1457"/>
      <c r="S1081" s="1457"/>
      <c r="T1081" s="1457"/>
      <c r="U1081" s="1457"/>
      <c r="V1081" s="1457"/>
      <c r="W1081" s="1457"/>
      <c r="X1081" s="1457"/>
      <c r="Y1081" s="1457"/>
    </row>
    <row r="1082" spans="1:25" x14ac:dyDescent="0.2">
      <c r="A1082" s="2296"/>
      <c r="B1082" s="2296"/>
      <c r="C1082" s="2296"/>
      <c r="D1082" s="2296"/>
      <c r="E1082" s="1456"/>
      <c r="R1082" s="1457"/>
      <c r="S1082" s="1457"/>
      <c r="T1082" s="1457"/>
      <c r="U1082" s="1457"/>
      <c r="V1082" s="1457"/>
      <c r="W1082" s="1457"/>
      <c r="X1082" s="1457"/>
      <c r="Y1082" s="1457"/>
    </row>
    <row r="1083" spans="1:25" x14ac:dyDescent="0.2">
      <c r="A1083" s="2296"/>
      <c r="B1083" s="2296"/>
      <c r="C1083" s="2296"/>
      <c r="D1083" s="2296"/>
      <c r="E1083" s="1456"/>
      <c r="R1083" s="1457"/>
      <c r="S1083" s="1457"/>
      <c r="T1083" s="1457"/>
      <c r="U1083" s="1457"/>
      <c r="V1083" s="1457"/>
      <c r="W1083" s="1457"/>
      <c r="X1083" s="1457"/>
      <c r="Y1083" s="1457"/>
    </row>
    <row r="1084" spans="1:25" x14ac:dyDescent="0.2">
      <c r="A1084" s="2296"/>
      <c r="B1084" s="2296"/>
      <c r="C1084" s="2296"/>
      <c r="D1084" s="2296"/>
      <c r="E1084" s="1456"/>
      <c r="R1084" s="1457"/>
      <c r="S1084" s="1457"/>
      <c r="T1084" s="1457"/>
      <c r="U1084" s="1457"/>
      <c r="V1084" s="1457"/>
      <c r="W1084" s="1457"/>
      <c r="X1084" s="1457"/>
      <c r="Y1084" s="1457"/>
    </row>
    <row r="1085" spans="1:25" x14ac:dyDescent="0.2">
      <c r="A1085" s="2296"/>
      <c r="B1085" s="2296"/>
      <c r="C1085" s="2296"/>
      <c r="D1085" s="2296"/>
      <c r="E1085" s="1456"/>
      <c r="R1085" s="1457"/>
      <c r="S1085" s="1457"/>
      <c r="T1085" s="1457"/>
      <c r="U1085" s="1457"/>
      <c r="V1085" s="1457"/>
      <c r="W1085" s="1457"/>
      <c r="X1085" s="1457"/>
      <c r="Y1085" s="1457"/>
    </row>
    <row r="1086" spans="1:25" x14ac:dyDescent="0.2">
      <c r="A1086" s="2296"/>
      <c r="B1086" s="2296"/>
      <c r="C1086" s="2296"/>
      <c r="D1086" s="2296"/>
      <c r="E1086" s="1456"/>
      <c r="R1086" s="1457"/>
      <c r="S1086" s="1457"/>
      <c r="T1086" s="1457"/>
      <c r="U1086" s="1457"/>
      <c r="V1086" s="1457"/>
      <c r="W1086" s="1457"/>
      <c r="X1086" s="1457"/>
      <c r="Y1086" s="1457"/>
    </row>
    <row r="1087" spans="1:25" x14ac:dyDescent="0.2">
      <c r="A1087" s="2296"/>
      <c r="B1087" s="2296"/>
      <c r="C1087" s="2296"/>
      <c r="D1087" s="2296"/>
      <c r="E1087" s="1456"/>
      <c r="R1087" s="1457"/>
      <c r="S1087" s="1457"/>
      <c r="T1087" s="1457"/>
      <c r="U1087" s="1457"/>
      <c r="V1087" s="1457"/>
      <c r="W1087" s="1457"/>
      <c r="X1087" s="1457"/>
      <c r="Y1087" s="1457"/>
    </row>
    <row r="1088" spans="1:25" x14ac:dyDescent="0.2">
      <c r="A1088" s="2296"/>
      <c r="B1088" s="2296"/>
      <c r="C1088" s="2296"/>
      <c r="D1088" s="2296"/>
      <c r="E1088" s="1456"/>
      <c r="R1088" s="1457"/>
      <c r="S1088" s="1457"/>
      <c r="T1088" s="1457"/>
      <c r="U1088" s="1457"/>
      <c r="V1088" s="1457"/>
      <c r="W1088" s="1457"/>
      <c r="X1088" s="1457"/>
      <c r="Y1088" s="1457"/>
    </row>
    <row r="1089" spans="1:25" x14ac:dyDescent="0.2">
      <c r="A1089" s="2296"/>
      <c r="B1089" s="2296"/>
      <c r="C1089" s="2296"/>
      <c r="D1089" s="2296"/>
      <c r="E1089" s="1456"/>
      <c r="R1089" s="1457"/>
      <c r="S1089" s="1457"/>
      <c r="T1089" s="1457"/>
      <c r="U1089" s="1457"/>
      <c r="V1089" s="1457"/>
      <c r="W1089" s="1457"/>
      <c r="X1089" s="1457"/>
      <c r="Y1089" s="1457"/>
    </row>
    <row r="1090" spans="1:25" x14ac:dyDescent="0.2">
      <c r="A1090" s="2296"/>
      <c r="B1090" s="2296"/>
      <c r="C1090" s="2296"/>
      <c r="D1090" s="2296"/>
      <c r="E1090" s="1456"/>
      <c r="R1090" s="1457"/>
      <c r="S1090" s="1457"/>
      <c r="T1090" s="1457"/>
      <c r="U1090" s="1457"/>
      <c r="V1090" s="1457"/>
      <c r="W1090" s="1457"/>
      <c r="X1090" s="1457"/>
      <c r="Y1090" s="1457"/>
    </row>
    <row r="1091" spans="1:25" x14ac:dyDescent="0.2">
      <c r="A1091" s="2296"/>
      <c r="B1091" s="2296"/>
      <c r="C1091" s="2296"/>
      <c r="D1091" s="2296"/>
      <c r="E1091" s="1456"/>
      <c r="R1091" s="1457"/>
      <c r="S1091" s="1457"/>
      <c r="T1091" s="1457"/>
      <c r="U1091" s="1457"/>
      <c r="V1091" s="1457"/>
      <c r="W1091" s="1457"/>
      <c r="X1091" s="1457"/>
      <c r="Y1091" s="1457"/>
    </row>
    <row r="1092" spans="1:25" x14ac:dyDescent="0.2">
      <c r="A1092" s="2296"/>
      <c r="B1092" s="2296"/>
      <c r="C1092" s="2296"/>
      <c r="D1092" s="2296"/>
      <c r="E1092" s="1456"/>
      <c r="R1092" s="1457"/>
      <c r="S1092" s="1457"/>
      <c r="T1092" s="1457"/>
      <c r="U1092" s="1457"/>
      <c r="V1092" s="1457"/>
      <c r="W1092" s="1457"/>
      <c r="X1092" s="1457"/>
      <c r="Y1092" s="1457"/>
    </row>
    <row r="1093" spans="1:25" x14ac:dyDescent="0.2">
      <c r="A1093" s="2296"/>
      <c r="B1093" s="2296"/>
      <c r="C1093" s="2296"/>
      <c r="D1093" s="2296"/>
      <c r="E1093" s="1456"/>
      <c r="R1093" s="1457"/>
      <c r="S1093" s="1457"/>
      <c r="T1093" s="1457"/>
      <c r="U1093" s="1457"/>
      <c r="V1093" s="1457"/>
      <c r="W1093" s="1457"/>
      <c r="X1093" s="1457"/>
      <c r="Y1093" s="1457"/>
    </row>
    <row r="1094" spans="1:25" x14ac:dyDescent="0.2">
      <c r="A1094" s="2296"/>
      <c r="B1094" s="2296"/>
      <c r="C1094" s="2296"/>
      <c r="D1094" s="2296"/>
      <c r="E1094" s="1456"/>
      <c r="R1094" s="1457"/>
      <c r="S1094" s="1457"/>
      <c r="T1094" s="1457"/>
      <c r="U1094" s="1457"/>
      <c r="V1094" s="1457"/>
      <c r="W1094" s="1457"/>
      <c r="X1094" s="1457"/>
      <c r="Y1094" s="1457"/>
    </row>
    <row r="1095" spans="1:25" x14ac:dyDescent="0.2">
      <c r="A1095" s="2296"/>
      <c r="B1095" s="2296"/>
      <c r="C1095" s="2296"/>
      <c r="D1095" s="2296"/>
      <c r="E1095" s="1456"/>
      <c r="R1095" s="1457"/>
      <c r="S1095" s="1457"/>
      <c r="T1095" s="1457"/>
      <c r="U1095" s="1457"/>
      <c r="V1095" s="1457"/>
      <c r="W1095" s="1457"/>
      <c r="X1095" s="1457"/>
      <c r="Y1095" s="1457"/>
    </row>
    <row r="1096" spans="1:25" x14ac:dyDescent="0.2">
      <c r="A1096" s="2296"/>
      <c r="B1096" s="2296"/>
      <c r="C1096" s="2296"/>
      <c r="D1096" s="2296"/>
      <c r="E1096" s="1456"/>
      <c r="R1096" s="1457"/>
      <c r="S1096" s="1457"/>
      <c r="T1096" s="1457"/>
      <c r="U1096" s="1457"/>
      <c r="V1096" s="1457"/>
      <c r="W1096" s="1457"/>
      <c r="X1096" s="1457"/>
      <c r="Y1096" s="1457"/>
    </row>
    <row r="1097" spans="1:25" x14ac:dyDescent="0.2">
      <c r="A1097" s="2296"/>
      <c r="B1097" s="2296"/>
      <c r="C1097" s="2296"/>
      <c r="D1097" s="2296"/>
      <c r="E1097" s="1456"/>
      <c r="R1097" s="1457"/>
      <c r="S1097" s="1457"/>
      <c r="T1097" s="1457"/>
      <c r="U1097" s="1457"/>
      <c r="V1097" s="1457"/>
      <c r="W1097" s="1457"/>
      <c r="X1097" s="1457"/>
      <c r="Y1097" s="1457"/>
    </row>
    <row r="1098" spans="1:25" x14ac:dyDescent="0.2">
      <c r="A1098" s="2296"/>
      <c r="B1098" s="2296"/>
      <c r="C1098" s="2296"/>
      <c r="D1098" s="2296"/>
      <c r="E1098" s="1456"/>
      <c r="R1098" s="1457"/>
      <c r="S1098" s="1457"/>
      <c r="T1098" s="1457"/>
      <c r="U1098" s="1457"/>
      <c r="V1098" s="1457"/>
      <c r="W1098" s="1457"/>
      <c r="X1098" s="1457"/>
      <c r="Y1098" s="1457"/>
    </row>
    <row r="1099" spans="1:25" x14ac:dyDescent="0.2">
      <c r="A1099" s="2296"/>
      <c r="B1099" s="2296"/>
      <c r="C1099" s="2296"/>
      <c r="D1099" s="2296"/>
      <c r="E1099" s="1456"/>
      <c r="R1099" s="1457"/>
      <c r="S1099" s="1457"/>
      <c r="T1099" s="1457"/>
      <c r="U1099" s="1457"/>
      <c r="V1099" s="1457"/>
      <c r="W1099" s="1457"/>
      <c r="X1099" s="1457"/>
      <c r="Y1099" s="1457"/>
    </row>
    <row r="1100" spans="1:25" x14ac:dyDescent="0.2">
      <c r="A1100" s="2296"/>
      <c r="B1100" s="2296"/>
      <c r="C1100" s="2296"/>
      <c r="D1100" s="2296"/>
      <c r="E1100" s="1456"/>
      <c r="R1100" s="1457"/>
      <c r="S1100" s="1457"/>
      <c r="T1100" s="1457"/>
      <c r="U1100" s="1457"/>
      <c r="V1100" s="1457"/>
      <c r="W1100" s="1457"/>
      <c r="X1100" s="1457"/>
      <c r="Y1100" s="1457"/>
    </row>
    <row r="1101" spans="1:25" x14ac:dyDescent="0.2">
      <c r="A1101" s="2296"/>
      <c r="B1101" s="2296"/>
      <c r="C1101" s="2296"/>
      <c r="D1101" s="2296"/>
      <c r="E1101" s="1456"/>
      <c r="R1101" s="1457"/>
      <c r="S1101" s="1457"/>
      <c r="T1101" s="1457"/>
      <c r="U1101" s="1457"/>
      <c r="V1101" s="1457"/>
      <c r="W1101" s="1457"/>
      <c r="X1101" s="1457"/>
      <c r="Y1101" s="1457"/>
    </row>
    <row r="1102" spans="1:25" x14ac:dyDescent="0.2">
      <c r="A1102" s="2296"/>
      <c r="B1102" s="2296"/>
      <c r="C1102" s="2296"/>
      <c r="D1102" s="2296"/>
      <c r="E1102" s="1456"/>
      <c r="R1102" s="1457"/>
      <c r="S1102" s="1457"/>
      <c r="T1102" s="1457"/>
      <c r="U1102" s="1457"/>
      <c r="V1102" s="1457"/>
      <c r="W1102" s="1457"/>
      <c r="X1102" s="1457"/>
      <c r="Y1102" s="1457"/>
    </row>
    <row r="1103" spans="1:25" x14ac:dyDescent="0.2">
      <c r="A1103" s="2296"/>
      <c r="B1103" s="2296"/>
      <c r="C1103" s="2296"/>
      <c r="D1103" s="2296"/>
      <c r="E1103" s="1456"/>
      <c r="R1103" s="1457"/>
      <c r="S1103" s="1457"/>
      <c r="T1103" s="1457"/>
      <c r="U1103" s="1457"/>
      <c r="V1103" s="1457"/>
      <c r="W1103" s="1457"/>
      <c r="X1103" s="1457"/>
      <c r="Y1103" s="1457"/>
    </row>
    <row r="1104" spans="1:25" x14ac:dyDescent="0.2">
      <c r="A1104" s="2296"/>
      <c r="B1104" s="2296"/>
      <c r="C1104" s="2296"/>
      <c r="D1104" s="2296"/>
      <c r="E1104" s="1456"/>
      <c r="R1104" s="1457"/>
      <c r="S1104" s="1457"/>
      <c r="T1104" s="1457"/>
      <c r="U1104" s="1457"/>
      <c r="V1104" s="1457"/>
      <c r="W1104" s="1457"/>
      <c r="X1104" s="1457"/>
      <c r="Y1104" s="1457"/>
    </row>
    <row r="1105" spans="1:25" x14ac:dyDescent="0.2">
      <c r="A1105" s="2296"/>
      <c r="B1105" s="2296"/>
      <c r="C1105" s="2296"/>
      <c r="D1105" s="2296"/>
      <c r="E1105" s="1456"/>
      <c r="R1105" s="1457"/>
      <c r="S1105" s="1457"/>
      <c r="T1105" s="1457"/>
      <c r="U1105" s="1457"/>
      <c r="V1105" s="1457"/>
      <c r="W1105" s="1457"/>
      <c r="X1105" s="1457"/>
      <c r="Y1105" s="1457"/>
    </row>
    <row r="1106" spans="1:25" x14ac:dyDescent="0.2">
      <c r="A1106" s="2296"/>
      <c r="B1106" s="2296"/>
      <c r="C1106" s="2296"/>
      <c r="D1106" s="2296"/>
      <c r="E1106" s="1456"/>
      <c r="R1106" s="1457"/>
      <c r="S1106" s="1457"/>
      <c r="T1106" s="1457"/>
      <c r="U1106" s="1457"/>
      <c r="V1106" s="1457"/>
      <c r="W1106" s="1457"/>
      <c r="X1106" s="1457"/>
      <c r="Y1106" s="1457"/>
    </row>
    <row r="1107" spans="1:25" x14ac:dyDescent="0.2">
      <c r="A1107" s="2296"/>
      <c r="B1107" s="2296"/>
      <c r="C1107" s="2296"/>
      <c r="D1107" s="2296"/>
      <c r="E1107" s="1456"/>
      <c r="R1107" s="1457"/>
      <c r="S1107" s="1457"/>
      <c r="T1107" s="1457"/>
      <c r="U1107" s="1457"/>
      <c r="V1107" s="1457"/>
      <c r="W1107" s="1457"/>
      <c r="X1107" s="1457"/>
      <c r="Y1107" s="1457"/>
    </row>
    <row r="1108" spans="1:25" x14ac:dyDescent="0.2">
      <c r="A1108" s="2296"/>
      <c r="B1108" s="2296"/>
      <c r="C1108" s="2296"/>
      <c r="D1108" s="2296"/>
      <c r="E1108" s="1456"/>
      <c r="R1108" s="1457"/>
      <c r="S1108" s="1457"/>
      <c r="T1108" s="1457"/>
      <c r="U1108" s="1457"/>
      <c r="V1108" s="1457"/>
      <c r="W1108" s="1457"/>
      <c r="X1108" s="1457"/>
      <c r="Y1108" s="1457"/>
    </row>
    <row r="1109" spans="1:25" x14ac:dyDescent="0.2">
      <c r="A1109" s="2296"/>
      <c r="B1109" s="2296"/>
      <c r="C1109" s="2296"/>
      <c r="D1109" s="2296"/>
      <c r="E1109" s="1456"/>
      <c r="R1109" s="1457"/>
      <c r="S1109" s="1457"/>
      <c r="T1109" s="1457"/>
      <c r="U1109" s="1457"/>
      <c r="V1109" s="1457"/>
      <c r="W1109" s="1457"/>
      <c r="X1109" s="1457"/>
      <c r="Y1109" s="1457"/>
    </row>
    <row r="1110" spans="1:25" x14ac:dyDescent="0.2">
      <c r="A1110" s="2296"/>
      <c r="B1110" s="2296"/>
      <c r="C1110" s="2296"/>
      <c r="D1110" s="2296"/>
      <c r="E1110" s="1456"/>
      <c r="R1110" s="1457"/>
      <c r="S1110" s="1457"/>
      <c r="T1110" s="1457"/>
      <c r="U1110" s="1457"/>
      <c r="V1110" s="1457"/>
      <c r="W1110" s="1457"/>
      <c r="X1110" s="1457"/>
      <c r="Y1110" s="1457"/>
    </row>
    <row r="1111" spans="1:25" x14ac:dyDescent="0.2">
      <c r="A1111" s="2296"/>
      <c r="B1111" s="2296"/>
      <c r="C1111" s="2296"/>
      <c r="D1111" s="2296"/>
      <c r="E1111" s="1456"/>
      <c r="R1111" s="1457"/>
      <c r="S1111" s="1457"/>
      <c r="T1111" s="1457"/>
      <c r="U1111" s="1457"/>
      <c r="V1111" s="1457"/>
      <c r="W1111" s="1457"/>
      <c r="X1111" s="1457"/>
      <c r="Y1111" s="1457"/>
    </row>
    <row r="1112" spans="1:25" x14ac:dyDescent="0.2">
      <c r="A1112" s="2296"/>
      <c r="B1112" s="2296"/>
      <c r="C1112" s="2296"/>
      <c r="D1112" s="2296"/>
      <c r="E1112" s="1456"/>
      <c r="R1112" s="1457"/>
      <c r="S1112" s="1457"/>
      <c r="T1112" s="1457"/>
      <c r="U1112" s="1457"/>
      <c r="V1112" s="1457"/>
      <c r="W1112" s="1457"/>
      <c r="X1112" s="1457"/>
      <c r="Y1112" s="1457"/>
    </row>
    <row r="1113" spans="1:25" x14ac:dyDescent="0.2">
      <c r="A1113" s="2296"/>
      <c r="B1113" s="2296"/>
      <c r="C1113" s="2296"/>
      <c r="D1113" s="2296"/>
      <c r="E1113" s="1456"/>
      <c r="R1113" s="1457"/>
      <c r="S1113" s="1457"/>
      <c r="T1113" s="1457"/>
      <c r="U1113" s="1457"/>
      <c r="V1113" s="1457"/>
      <c r="W1113" s="1457"/>
      <c r="X1113" s="1457"/>
      <c r="Y1113" s="1457"/>
    </row>
    <row r="1114" spans="1:25" x14ac:dyDescent="0.2">
      <c r="A1114" s="2296"/>
      <c r="B1114" s="2296"/>
      <c r="C1114" s="2296"/>
      <c r="D1114" s="2296"/>
      <c r="E1114" s="1456"/>
      <c r="R1114" s="1457"/>
      <c r="S1114" s="1457"/>
      <c r="T1114" s="1457"/>
      <c r="U1114" s="1457"/>
      <c r="V1114" s="1457"/>
      <c r="W1114" s="1457"/>
      <c r="X1114" s="1457"/>
      <c r="Y1114" s="1457"/>
    </row>
    <row r="1115" spans="1:25" x14ac:dyDescent="0.2">
      <c r="A1115" s="2296"/>
      <c r="B1115" s="2296"/>
      <c r="C1115" s="2296"/>
      <c r="D1115" s="2296"/>
      <c r="E1115" s="1456"/>
      <c r="R1115" s="1457"/>
      <c r="S1115" s="1457"/>
      <c r="T1115" s="1457"/>
      <c r="U1115" s="1457"/>
      <c r="V1115" s="1457"/>
      <c r="W1115" s="1457"/>
      <c r="X1115" s="1457"/>
      <c r="Y1115" s="1457"/>
    </row>
    <row r="1116" spans="1:25" x14ac:dyDescent="0.2">
      <c r="A1116" s="2296"/>
      <c r="B1116" s="2296"/>
      <c r="C1116" s="2296"/>
      <c r="D1116" s="2296"/>
      <c r="E1116" s="1456"/>
      <c r="R1116" s="1457"/>
      <c r="S1116" s="1457"/>
      <c r="T1116" s="1457"/>
      <c r="U1116" s="1457"/>
      <c r="V1116" s="1457"/>
      <c r="W1116" s="1457"/>
      <c r="X1116" s="1457"/>
      <c r="Y1116" s="1457"/>
    </row>
    <row r="1117" spans="1:25" x14ac:dyDescent="0.2">
      <c r="A1117" s="2296"/>
      <c r="B1117" s="2296"/>
      <c r="C1117" s="2296"/>
      <c r="D1117" s="2296"/>
      <c r="E1117" s="1456"/>
      <c r="R1117" s="1457"/>
      <c r="S1117" s="1457"/>
      <c r="T1117" s="1457"/>
      <c r="U1117" s="1457"/>
      <c r="V1117" s="1457"/>
      <c r="W1117" s="1457"/>
      <c r="X1117" s="1457"/>
      <c r="Y1117" s="1457"/>
    </row>
    <row r="1118" spans="1:25" x14ac:dyDescent="0.2">
      <c r="A1118" s="2296"/>
      <c r="B1118" s="2296"/>
      <c r="C1118" s="2296"/>
      <c r="D1118" s="2296"/>
      <c r="E1118" s="1456"/>
      <c r="R1118" s="1457"/>
      <c r="S1118" s="1457"/>
      <c r="T1118" s="1457"/>
      <c r="U1118" s="1457"/>
      <c r="V1118" s="1457"/>
      <c r="W1118" s="1457"/>
      <c r="X1118" s="1457"/>
      <c r="Y1118" s="1457"/>
    </row>
    <row r="1119" spans="1:25" x14ac:dyDescent="0.2">
      <c r="A1119" s="2296"/>
      <c r="B1119" s="2296"/>
      <c r="C1119" s="2296"/>
      <c r="D1119" s="2296"/>
      <c r="E1119" s="1456"/>
      <c r="R1119" s="1457"/>
      <c r="S1119" s="1457"/>
      <c r="T1119" s="1457"/>
      <c r="U1119" s="1457"/>
      <c r="V1119" s="1457"/>
      <c r="W1119" s="1457"/>
      <c r="X1119" s="1457"/>
      <c r="Y1119" s="1457"/>
    </row>
    <row r="1120" spans="1:25" x14ac:dyDescent="0.2">
      <c r="A1120" s="2296"/>
      <c r="B1120" s="2296"/>
      <c r="C1120" s="2296"/>
      <c r="D1120" s="2296"/>
      <c r="E1120" s="1456"/>
      <c r="R1120" s="1457"/>
      <c r="S1120" s="1457"/>
      <c r="T1120" s="1457"/>
      <c r="U1120" s="1457"/>
      <c r="V1120" s="1457"/>
      <c r="W1120" s="1457"/>
      <c r="X1120" s="1457"/>
      <c r="Y1120" s="1457"/>
    </row>
    <row r="1121" spans="1:25" x14ac:dyDescent="0.2">
      <c r="A1121" s="2296"/>
      <c r="B1121" s="2296"/>
      <c r="C1121" s="2296"/>
      <c r="D1121" s="2296"/>
      <c r="E1121" s="1456"/>
      <c r="R1121" s="1457"/>
      <c r="S1121" s="1457"/>
      <c r="T1121" s="1457"/>
      <c r="U1121" s="1457"/>
      <c r="V1121" s="1457"/>
      <c r="W1121" s="1457"/>
      <c r="X1121" s="1457"/>
      <c r="Y1121" s="1457"/>
    </row>
    <row r="1122" spans="1:25" x14ac:dyDescent="0.2">
      <c r="A1122" s="2296"/>
      <c r="B1122" s="2296"/>
      <c r="C1122" s="2296"/>
      <c r="D1122" s="2296"/>
      <c r="E1122" s="1456"/>
      <c r="R1122" s="1457"/>
      <c r="S1122" s="1457"/>
      <c r="T1122" s="1457"/>
      <c r="U1122" s="1457"/>
      <c r="V1122" s="1457"/>
      <c r="W1122" s="1457"/>
      <c r="X1122" s="1457"/>
      <c r="Y1122" s="1457"/>
    </row>
    <row r="1123" spans="1:25" x14ac:dyDescent="0.2">
      <c r="A1123" s="2296"/>
      <c r="B1123" s="2296"/>
      <c r="C1123" s="2296"/>
      <c r="D1123" s="2296"/>
      <c r="E1123" s="1456"/>
      <c r="R1123" s="1457"/>
      <c r="S1123" s="1457"/>
      <c r="T1123" s="1457"/>
      <c r="U1123" s="1457"/>
      <c r="V1123" s="1457"/>
      <c r="W1123" s="1457"/>
      <c r="X1123" s="1457"/>
      <c r="Y1123" s="1457"/>
    </row>
    <row r="1124" spans="1:25" x14ac:dyDescent="0.2">
      <c r="A1124" s="2296"/>
      <c r="B1124" s="2296"/>
      <c r="C1124" s="2296"/>
      <c r="D1124" s="2296"/>
      <c r="E1124" s="1456"/>
      <c r="R1124" s="1457"/>
      <c r="S1124" s="1457"/>
      <c r="T1124" s="1457"/>
      <c r="U1124" s="1457"/>
      <c r="V1124" s="1457"/>
      <c r="W1124" s="1457"/>
      <c r="X1124" s="1457"/>
      <c r="Y1124" s="1457"/>
    </row>
    <row r="1125" spans="1:25" x14ac:dyDescent="0.2">
      <c r="A1125" s="2296"/>
      <c r="B1125" s="2296"/>
      <c r="C1125" s="2296"/>
      <c r="D1125" s="2296"/>
      <c r="E1125" s="1456"/>
      <c r="R1125" s="1457"/>
      <c r="S1125" s="1457"/>
      <c r="T1125" s="1457"/>
      <c r="U1125" s="1457"/>
      <c r="V1125" s="1457"/>
      <c r="W1125" s="1457"/>
      <c r="X1125" s="1457"/>
      <c r="Y1125" s="1457"/>
    </row>
    <row r="1126" spans="1:25" x14ac:dyDescent="0.2">
      <c r="A1126" s="2296"/>
      <c r="B1126" s="2296"/>
      <c r="C1126" s="2296"/>
      <c r="D1126" s="2296"/>
      <c r="E1126" s="1456"/>
      <c r="R1126" s="1457"/>
      <c r="S1126" s="1457"/>
      <c r="T1126" s="1457"/>
      <c r="U1126" s="1457"/>
      <c r="V1126" s="1457"/>
      <c r="W1126" s="1457"/>
      <c r="X1126" s="1457"/>
      <c r="Y1126" s="1457"/>
    </row>
    <row r="1127" spans="1:25" x14ac:dyDescent="0.2">
      <c r="A1127" s="2296"/>
      <c r="B1127" s="2296"/>
      <c r="C1127" s="2296"/>
      <c r="D1127" s="2296"/>
      <c r="E1127" s="1456"/>
      <c r="R1127" s="1457"/>
      <c r="S1127" s="1457"/>
      <c r="T1127" s="1457"/>
      <c r="U1127" s="1457"/>
      <c r="V1127" s="1457"/>
      <c r="W1127" s="1457"/>
      <c r="X1127" s="1457"/>
      <c r="Y1127" s="1457"/>
    </row>
    <row r="1128" spans="1:25" x14ac:dyDescent="0.2">
      <c r="A1128" s="2296"/>
      <c r="B1128" s="2296"/>
      <c r="C1128" s="2296"/>
      <c r="D1128" s="2296"/>
      <c r="E1128" s="1456"/>
      <c r="R1128" s="1457"/>
      <c r="S1128" s="1457"/>
      <c r="T1128" s="1457"/>
      <c r="U1128" s="1457"/>
      <c r="V1128" s="1457"/>
      <c r="W1128" s="1457"/>
      <c r="X1128" s="1457"/>
      <c r="Y1128" s="1457"/>
    </row>
    <row r="1129" spans="1:25" x14ac:dyDescent="0.2">
      <c r="A1129" s="2296"/>
      <c r="B1129" s="2296"/>
      <c r="C1129" s="2296"/>
      <c r="D1129" s="2296"/>
      <c r="E1129" s="1456"/>
      <c r="R1129" s="1457"/>
      <c r="S1129" s="1457"/>
      <c r="T1129" s="1457"/>
      <c r="U1129" s="1457"/>
      <c r="V1129" s="1457"/>
      <c r="W1129" s="1457"/>
      <c r="X1129" s="1457"/>
      <c r="Y1129" s="1457"/>
    </row>
    <row r="1130" spans="1:25" x14ac:dyDescent="0.2">
      <c r="A1130" s="2296"/>
      <c r="B1130" s="2296"/>
      <c r="C1130" s="2296"/>
      <c r="D1130" s="2296"/>
      <c r="E1130" s="1456"/>
      <c r="R1130" s="1457"/>
      <c r="S1130" s="1457"/>
      <c r="T1130" s="1457"/>
      <c r="U1130" s="1457"/>
      <c r="V1130" s="1457"/>
      <c r="W1130" s="1457"/>
      <c r="X1130" s="1457"/>
      <c r="Y1130" s="1457"/>
    </row>
    <row r="1131" spans="1:25" x14ac:dyDescent="0.2">
      <c r="A1131" s="2296"/>
      <c r="B1131" s="2296"/>
      <c r="C1131" s="2296"/>
      <c r="D1131" s="2296"/>
      <c r="E1131" s="1456"/>
      <c r="R1131" s="1457"/>
      <c r="S1131" s="1457"/>
      <c r="T1131" s="1457"/>
      <c r="U1131" s="1457"/>
      <c r="V1131" s="1457"/>
      <c r="W1131" s="1457"/>
      <c r="X1131" s="1457"/>
      <c r="Y1131" s="1457"/>
    </row>
    <row r="1132" spans="1:25" x14ac:dyDescent="0.2">
      <c r="A1132" s="2296"/>
      <c r="B1132" s="2296"/>
      <c r="C1132" s="2296"/>
      <c r="D1132" s="2296"/>
      <c r="E1132" s="1456"/>
      <c r="R1132" s="1457"/>
      <c r="S1132" s="1457"/>
      <c r="T1132" s="1457"/>
      <c r="U1132" s="1457"/>
      <c r="V1132" s="1457"/>
      <c r="W1132" s="1457"/>
      <c r="X1132" s="1457"/>
      <c r="Y1132" s="1457"/>
    </row>
    <row r="1133" spans="1:25" x14ac:dyDescent="0.2">
      <c r="A1133" s="2296"/>
      <c r="B1133" s="2296"/>
      <c r="C1133" s="2296"/>
      <c r="D1133" s="2296"/>
      <c r="E1133" s="1456"/>
      <c r="R1133" s="1457"/>
      <c r="S1133" s="1457"/>
      <c r="T1133" s="1457"/>
      <c r="U1133" s="1457"/>
      <c r="V1133" s="1457"/>
      <c r="W1133" s="1457"/>
      <c r="X1133" s="1457"/>
      <c r="Y1133" s="1457"/>
    </row>
    <row r="1134" spans="1:25" x14ac:dyDescent="0.2">
      <c r="A1134" s="2296"/>
      <c r="B1134" s="2296"/>
      <c r="C1134" s="2296"/>
      <c r="D1134" s="2296"/>
      <c r="E1134" s="1456"/>
      <c r="R1134" s="1457"/>
      <c r="S1134" s="1457"/>
      <c r="T1134" s="1457"/>
      <c r="U1134" s="1457"/>
      <c r="V1134" s="1457"/>
      <c r="W1134" s="1457"/>
      <c r="X1134" s="1457"/>
      <c r="Y1134" s="1457"/>
    </row>
    <row r="1135" spans="1:25" x14ac:dyDescent="0.2">
      <c r="A1135" s="2296"/>
      <c r="B1135" s="2296"/>
      <c r="C1135" s="2296"/>
      <c r="D1135" s="2296"/>
      <c r="E1135" s="1456"/>
      <c r="R1135" s="1457"/>
      <c r="S1135" s="1457"/>
      <c r="T1135" s="1457"/>
      <c r="U1135" s="1457"/>
      <c r="V1135" s="1457"/>
      <c r="W1135" s="1457"/>
      <c r="X1135" s="1457"/>
      <c r="Y1135" s="1457"/>
    </row>
    <row r="1136" spans="1:25" x14ac:dyDescent="0.2">
      <c r="A1136" s="2296"/>
      <c r="B1136" s="2296"/>
      <c r="C1136" s="2296"/>
      <c r="D1136" s="2296"/>
      <c r="E1136" s="1456"/>
      <c r="R1136" s="1457"/>
      <c r="S1136" s="1457"/>
      <c r="T1136" s="1457"/>
      <c r="U1136" s="1457"/>
      <c r="V1136" s="1457"/>
      <c r="W1136" s="1457"/>
      <c r="X1136" s="1457"/>
      <c r="Y1136" s="1457"/>
    </row>
    <row r="1137" spans="1:25" x14ac:dyDescent="0.2">
      <c r="A1137" s="2296"/>
      <c r="B1137" s="2296"/>
      <c r="C1137" s="2296"/>
      <c r="D1137" s="2296"/>
      <c r="E1137" s="1456"/>
      <c r="R1137" s="1457"/>
      <c r="S1137" s="1457"/>
      <c r="T1137" s="1457"/>
      <c r="U1137" s="1457"/>
      <c r="V1137" s="1457"/>
      <c r="W1137" s="1457"/>
      <c r="X1137" s="1457"/>
      <c r="Y1137" s="1457"/>
    </row>
    <row r="1138" spans="1:25" x14ac:dyDescent="0.2">
      <c r="A1138" s="2296"/>
      <c r="B1138" s="2296"/>
      <c r="C1138" s="2296"/>
      <c r="D1138" s="2296"/>
      <c r="E1138" s="1456"/>
      <c r="R1138" s="1457"/>
      <c r="S1138" s="1457"/>
      <c r="T1138" s="1457"/>
      <c r="U1138" s="1457"/>
      <c r="V1138" s="1457"/>
      <c r="W1138" s="1457"/>
      <c r="X1138" s="1457"/>
      <c r="Y1138" s="1457"/>
    </row>
    <row r="1139" spans="1:25" x14ac:dyDescent="0.2">
      <c r="A1139" s="2296"/>
      <c r="B1139" s="2296"/>
      <c r="C1139" s="2296"/>
      <c r="D1139" s="2296"/>
      <c r="E1139" s="1456"/>
      <c r="R1139" s="1457"/>
      <c r="S1139" s="1457"/>
      <c r="T1139" s="1457"/>
      <c r="U1139" s="1457"/>
      <c r="V1139" s="1457"/>
      <c r="W1139" s="1457"/>
      <c r="X1139" s="1457"/>
      <c r="Y1139" s="1457"/>
    </row>
    <row r="1140" spans="1:25" x14ac:dyDescent="0.2">
      <c r="A1140" s="2296"/>
      <c r="B1140" s="2296"/>
      <c r="C1140" s="2296"/>
      <c r="D1140" s="2296"/>
      <c r="E1140" s="1456"/>
      <c r="R1140" s="1457"/>
      <c r="S1140" s="1457"/>
      <c r="T1140" s="1457"/>
      <c r="U1140" s="1457"/>
      <c r="V1140" s="1457"/>
      <c r="W1140" s="1457"/>
      <c r="X1140" s="1457"/>
      <c r="Y1140" s="1457"/>
    </row>
    <row r="1141" spans="1:25" x14ac:dyDescent="0.2">
      <c r="A1141" s="2296"/>
      <c r="B1141" s="2296"/>
      <c r="C1141" s="2296"/>
      <c r="D1141" s="2296"/>
      <c r="E1141" s="1456"/>
      <c r="R1141" s="1457"/>
      <c r="S1141" s="1457"/>
      <c r="T1141" s="1457"/>
      <c r="U1141" s="1457"/>
      <c r="V1141" s="1457"/>
      <c r="W1141" s="1457"/>
      <c r="X1141" s="1457"/>
      <c r="Y1141" s="1457"/>
    </row>
    <row r="1142" spans="1:25" x14ac:dyDescent="0.2">
      <c r="A1142" s="2296"/>
      <c r="B1142" s="2296"/>
      <c r="C1142" s="2296"/>
      <c r="D1142" s="2296"/>
      <c r="E1142" s="1456"/>
      <c r="R1142" s="1457"/>
      <c r="S1142" s="1457"/>
      <c r="T1142" s="1457"/>
      <c r="U1142" s="1457"/>
      <c r="V1142" s="1457"/>
      <c r="W1142" s="1457"/>
      <c r="X1142" s="1457"/>
      <c r="Y1142" s="1457"/>
    </row>
    <row r="1143" spans="1:25" x14ac:dyDescent="0.2">
      <c r="A1143" s="2296"/>
      <c r="B1143" s="2296"/>
      <c r="C1143" s="2296"/>
      <c r="D1143" s="2296"/>
      <c r="E1143" s="1456"/>
      <c r="R1143" s="1457"/>
      <c r="S1143" s="1457"/>
      <c r="T1143" s="1457"/>
      <c r="U1143" s="1457"/>
      <c r="V1143" s="1457"/>
      <c r="W1143" s="1457"/>
      <c r="X1143" s="1457"/>
      <c r="Y1143" s="1457"/>
    </row>
    <row r="1144" spans="1:25" x14ac:dyDescent="0.2">
      <c r="A1144" s="2296"/>
      <c r="B1144" s="2296"/>
      <c r="C1144" s="2296"/>
      <c r="D1144" s="2296"/>
      <c r="E1144" s="1456"/>
      <c r="R1144" s="1457"/>
      <c r="S1144" s="1457"/>
      <c r="T1144" s="1457"/>
      <c r="U1144" s="1457"/>
      <c r="V1144" s="1457"/>
      <c r="W1144" s="1457"/>
      <c r="X1144" s="1457"/>
      <c r="Y1144" s="1457"/>
    </row>
    <row r="1145" spans="1:25" x14ac:dyDescent="0.2">
      <c r="A1145" s="2296"/>
      <c r="B1145" s="2296"/>
      <c r="C1145" s="2296"/>
      <c r="D1145" s="2296"/>
      <c r="E1145" s="1456"/>
      <c r="R1145" s="1457"/>
      <c r="S1145" s="1457"/>
      <c r="T1145" s="1457"/>
      <c r="U1145" s="1457"/>
      <c r="V1145" s="1457"/>
      <c r="W1145" s="1457"/>
      <c r="X1145" s="1457"/>
      <c r="Y1145" s="1457"/>
    </row>
    <row r="1146" spans="1:25" x14ac:dyDescent="0.2">
      <c r="A1146" s="2296"/>
      <c r="B1146" s="2296"/>
      <c r="C1146" s="2296"/>
      <c r="D1146" s="2296"/>
      <c r="E1146" s="1456"/>
      <c r="R1146" s="1457"/>
      <c r="S1146" s="1457"/>
      <c r="T1146" s="1457"/>
      <c r="U1146" s="1457"/>
      <c r="V1146" s="1457"/>
      <c r="W1146" s="1457"/>
      <c r="X1146" s="1457"/>
      <c r="Y1146" s="1457"/>
    </row>
    <row r="1147" spans="1:25" x14ac:dyDescent="0.2">
      <c r="A1147" s="2296"/>
      <c r="B1147" s="2296"/>
      <c r="C1147" s="2296"/>
      <c r="D1147" s="2296"/>
      <c r="E1147" s="1456"/>
      <c r="R1147" s="1457"/>
      <c r="S1147" s="1457"/>
      <c r="T1147" s="1457"/>
      <c r="U1147" s="1457"/>
      <c r="V1147" s="1457"/>
      <c r="W1147" s="1457"/>
      <c r="X1147" s="1457"/>
      <c r="Y1147" s="1457"/>
    </row>
    <row r="1148" spans="1:25" x14ac:dyDescent="0.2">
      <c r="A1148" s="2296"/>
      <c r="B1148" s="2296"/>
      <c r="C1148" s="2296"/>
      <c r="D1148" s="2296"/>
      <c r="E1148" s="1456"/>
      <c r="R1148" s="1457"/>
      <c r="S1148" s="1457"/>
      <c r="T1148" s="1457"/>
      <c r="U1148" s="1457"/>
      <c r="V1148" s="1457"/>
      <c r="W1148" s="1457"/>
      <c r="X1148" s="1457"/>
      <c r="Y1148" s="1457"/>
    </row>
    <row r="1149" spans="1:25" x14ac:dyDescent="0.2">
      <c r="A1149" s="2296"/>
      <c r="B1149" s="2296"/>
      <c r="C1149" s="2296"/>
      <c r="D1149" s="2296"/>
      <c r="E1149" s="1456"/>
      <c r="R1149" s="1457"/>
      <c r="S1149" s="1457"/>
      <c r="T1149" s="1457"/>
      <c r="U1149" s="1457"/>
      <c r="V1149" s="1457"/>
      <c r="W1149" s="1457"/>
      <c r="X1149" s="1457"/>
      <c r="Y1149" s="1457"/>
    </row>
    <row r="1150" spans="1:25" x14ac:dyDescent="0.2">
      <c r="A1150" s="2296"/>
      <c r="B1150" s="2296"/>
      <c r="C1150" s="2296"/>
      <c r="D1150" s="2296"/>
      <c r="E1150" s="1456"/>
      <c r="R1150" s="1457"/>
      <c r="S1150" s="1457"/>
      <c r="T1150" s="1457"/>
      <c r="U1150" s="1457"/>
      <c r="V1150" s="1457"/>
      <c r="W1150" s="1457"/>
      <c r="X1150" s="1457"/>
      <c r="Y1150" s="1457"/>
    </row>
    <row r="1151" spans="1:25" x14ac:dyDescent="0.2">
      <c r="A1151" s="2296"/>
      <c r="B1151" s="2296"/>
      <c r="C1151" s="2296"/>
      <c r="D1151" s="2296"/>
      <c r="E1151" s="1456"/>
      <c r="R1151" s="1457"/>
      <c r="S1151" s="1457"/>
      <c r="T1151" s="1457"/>
      <c r="U1151" s="1457"/>
      <c r="V1151" s="1457"/>
      <c r="W1151" s="1457"/>
      <c r="X1151" s="1457"/>
      <c r="Y1151" s="1457"/>
    </row>
    <row r="1152" spans="1:25" x14ac:dyDescent="0.2">
      <c r="A1152" s="2296"/>
      <c r="B1152" s="2296"/>
      <c r="C1152" s="2296"/>
      <c r="D1152" s="2296"/>
      <c r="E1152" s="1456"/>
      <c r="R1152" s="1457"/>
      <c r="S1152" s="1457"/>
      <c r="T1152" s="1457"/>
      <c r="U1152" s="1457"/>
      <c r="V1152" s="1457"/>
      <c r="W1152" s="1457"/>
      <c r="X1152" s="1457"/>
      <c r="Y1152" s="1457"/>
    </row>
    <row r="1153" spans="1:25" x14ac:dyDescent="0.2">
      <c r="A1153" s="2296"/>
      <c r="B1153" s="2296"/>
      <c r="C1153" s="2296"/>
      <c r="D1153" s="2296"/>
      <c r="E1153" s="1456"/>
      <c r="R1153" s="1457"/>
      <c r="S1153" s="1457"/>
      <c r="T1153" s="1457"/>
      <c r="U1153" s="1457"/>
      <c r="V1153" s="1457"/>
      <c r="W1153" s="1457"/>
      <c r="X1153" s="1457"/>
      <c r="Y1153" s="1457"/>
    </row>
    <row r="1154" spans="1:25" x14ac:dyDescent="0.2">
      <c r="A1154" s="2296"/>
      <c r="B1154" s="2296"/>
      <c r="C1154" s="2296"/>
      <c r="D1154" s="2296"/>
      <c r="E1154" s="1456"/>
      <c r="R1154" s="1457"/>
      <c r="S1154" s="1457"/>
      <c r="T1154" s="1457"/>
      <c r="U1154" s="1457"/>
      <c r="V1154" s="1457"/>
      <c r="W1154" s="1457"/>
      <c r="X1154" s="1457"/>
      <c r="Y1154" s="1457"/>
    </row>
    <row r="1155" spans="1:25" x14ac:dyDescent="0.2">
      <c r="A1155" s="2296"/>
      <c r="B1155" s="2296"/>
      <c r="C1155" s="2296"/>
      <c r="D1155" s="2296"/>
      <c r="E1155" s="1456"/>
      <c r="R1155" s="1457"/>
      <c r="S1155" s="1457"/>
      <c r="T1155" s="1457"/>
      <c r="U1155" s="1457"/>
      <c r="V1155" s="1457"/>
      <c r="W1155" s="1457"/>
      <c r="X1155" s="1457"/>
      <c r="Y1155" s="1457"/>
    </row>
    <row r="1156" spans="1:25" x14ac:dyDescent="0.2">
      <c r="A1156" s="2296"/>
      <c r="B1156" s="2296"/>
      <c r="C1156" s="2296"/>
      <c r="D1156" s="2296"/>
      <c r="E1156" s="1456"/>
      <c r="R1156" s="1457"/>
      <c r="S1156" s="1457"/>
      <c r="T1156" s="1457"/>
      <c r="U1156" s="1457"/>
      <c r="V1156" s="1457"/>
      <c r="W1156" s="1457"/>
      <c r="X1156" s="1457"/>
      <c r="Y1156" s="1457"/>
    </row>
    <row r="1157" spans="1:25" x14ac:dyDescent="0.2">
      <c r="A1157" s="2296"/>
      <c r="B1157" s="2296"/>
      <c r="C1157" s="2296"/>
      <c r="D1157" s="2296"/>
      <c r="E1157" s="1456"/>
      <c r="R1157" s="1457"/>
      <c r="S1157" s="1457"/>
      <c r="T1157" s="1457"/>
      <c r="U1157" s="1457"/>
      <c r="V1157" s="1457"/>
      <c r="W1157" s="1457"/>
      <c r="X1157" s="1457"/>
      <c r="Y1157" s="1457"/>
    </row>
    <row r="1158" spans="1:25" x14ac:dyDescent="0.2">
      <c r="A1158" s="2296"/>
      <c r="B1158" s="2296"/>
      <c r="C1158" s="2296"/>
      <c r="D1158" s="2296"/>
      <c r="E1158" s="1456"/>
      <c r="R1158" s="1457"/>
      <c r="S1158" s="1457"/>
      <c r="T1158" s="1457"/>
      <c r="U1158" s="1457"/>
      <c r="V1158" s="1457"/>
      <c r="W1158" s="1457"/>
      <c r="X1158" s="1457"/>
      <c r="Y1158" s="1457"/>
    </row>
    <row r="1159" spans="1:25" x14ac:dyDescent="0.2">
      <c r="A1159" s="2296"/>
      <c r="B1159" s="2296"/>
      <c r="C1159" s="2296"/>
      <c r="D1159" s="2296"/>
      <c r="E1159" s="1456"/>
      <c r="R1159" s="1457"/>
      <c r="S1159" s="1457"/>
      <c r="T1159" s="1457"/>
      <c r="U1159" s="1457"/>
      <c r="V1159" s="1457"/>
      <c r="W1159" s="1457"/>
      <c r="X1159" s="1457"/>
      <c r="Y1159" s="1457"/>
    </row>
    <row r="1160" spans="1:25" x14ac:dyDescent="0.2">
      <c r="A1160" s="2296"/>
      <c r="B1160" s="2296"/>
      <c r="C1160" s="2296"/>
      <c r="D1160" s="2296"/>
      <c r="E1160" s="1456"/>
      <c r="R1160" s="1457"/>
      <c r="S1160" s="1457"/>
      <c r="T1160" s="1457"/>
      <c r="U1160" s="1457"/>
      <c r="V1160" s="1457"/>
      <c r="W1160" s="1457"/>
      <c r="X1160" s="1457"/>
      <c r="Y1160" s="1457"/>
    </row>
    <row r="1161" spans="1:25" x14ac:dyDescent="0.2">
      <c r="A1161" s="2296"/>
      <c r="B1161" s="2296"/>
      <c r="C1161" s="2296"/>
      <c r="D1161" s="2296"/>
      <c r="E1161" s="1456"/>
      <c r="R1161" s="1457"/>
      <c r="S1161" s="1457"/>
      <c r="T1161" s="1457"/>
      <c r="U1161" s="1457"/>
      <c r="V1161" s="1457"/>
      <c r="W1161" s="1457"/>
      <c r="X1161" s="1457"/>
      <c r="Y1161" s="1457"/>
    </row>
    <row r="1162" spans="1:25" x14ac:dyDescent="0.2">
      <c r="A1162" s="2296"/>
      <c r="B1162" s="2296"/>
      <c r="C1162" s="2296"/>
      <c r="D1162" s="2296"/>
      <c r="E1162" s="1456"/>
      <c r="R1162" s="1457"/>
      <c r="S1162" s="1457"/>
      <c r="T1162" s="1457"/>
      <c r="U1162" s="1457"/>
      <c r="V1162" s="1457"/>
      <c r="W1162" s="1457"/>
      <c r="X1162" s="1457"/>
      <c r="Y1162" s="1457"/>
    </row>
    <row r="1163" spans="1:25" x14ac:dyDescent="0.2">
      <c r="A1163" s="2296"/>
      <c r="B1163" s="2296"/>
      <c r="C1163" s="2296"/>
      <c r="D1163" s="2296"/>
      <c r="E1163" s="1456"/>
      <c r="R1163" s="1457"/>
      <c r="S1163" s="1457"/>
      <c r="T1163" s="1457"/>
      <c r="U1163" s="1457"/>
      <c r="V1163" s="1457"/>
      <c r="W1163" s="1457"/>
      <c r="X1163" s="1457"/>
      <c r="Y1163" s="1457"/>
    </row>
    <row r="1164" spans="1:25" x14ac:dyDescent="0.2">
      <c r="A1164" s="2296"/>
      <c r="B1164" s="2296"/>
      <c r="C1164" s="2296"/>
      <c r="D1164" s="2296"/>
      <c r="E1164" s="1456"/>
      <c r="R1164" s="1457"/>
      <c r="S1164" s="1457"/>
      <c r="T1164" s="1457"/>
      <c r="U1164" s="1457"/>
      <c r="V1164" s="1457"/>
      <c r="W1164" s="1457"/>
      <c r="X1164" s="1457"/>
      <c r="Y1164" s="1457"/>
    </row>
    <row r="1165" spans="1:25" x14ac:dyDescent="0.2">
      <c r="A1165" s="2296"/>
      <c r="B1165" s="2296"/>
      <c r="C1165" s="2296"/>
      <c r="D1165" s="2296"/>
      <c r="E1165" s="1456"/>
      <c r="R1165" s="1457"/>
      <c r="S1165" s="1457"/>
      <c r="T1165" s="1457"/>
      <c r="U1165" s="1457"/>
      <c r="V1165" s="1457"/>
      <c r="W1165" s="1457"/>
      <c r="X1165" s="1457"/>
      <c r="Y1165" s="1457"/>
    </row>
    <row r="1166" spans="1:25" x14ac:dyDescent="0.2">
      <c r="A1166" s="2296"/>
      <c r="B1166" s="2296"/>
      <c r="C1166" s="2296"/>
      <c r="D1166" s="2296"/>
      <c r="E1166" s="1456"/>
      <c r="R1166" s="1457"/>
      <c r="S1166" s="1457"/>
      <c r="T1166" s="1457"/>
      <c r="U1166" s="1457"/>
      <c r="V1166" s="1457"/>
      <c r="W1166" s="1457"/>
      <c r="X1166" s="1457"/>
      <c r="Y1166" s="1457"/>
    </row>
    <row r="1167" spans="1:25" x14ac:dyDescent="0.2">
      <c r="A1167" s="2296"/>
      <c r="B1167" s="2296"/>
      <c r="C1167" s="2296"/>
      <c r="D1167" s="2296"/>
      <c r="E1167" s="1456"/>
      <c r="R1167" s="1457"/>
      <c r="S1167" s="1457"/>
      <c r="T1167" s="1457"/>
      <c r="U1167" s="1457"/>
      <c r="V1167" s="1457"/>
      <c r="W1167" s="1457"/>
      <c r="X1167" s="1457"/>
      <c r="Y1167" s="1457"/>
    </row>
    <row r="1168" spans="1:25" x14ac:dyDescent="0.2">
      <c r="A1168" s="2296"/>
      <c r="B1168" s="2296"/>
      <c r="C1168" s="2296"/>
      <c r="D1168" s="2296"/>
      <c r="E1168" s="1456"/>
      <c r="R1168" s="1457"/>
      <c r="S1168" s="1457"/>
      <c r="T1168" s="1457"/>
      <c r="U1168" s="1457"/>
      <c r="V1168" s="1457"/>
      <c r="W1168" s="1457"/>
      <c r="X1168" s="1457"/>
      <c r="Y1168" s="1457"/>
    </row>
    <row r="1169" spans="1:25" x14ac:dyDescent="0.2">
      <c r="A1169" s="2296"/>
      <c r="B1169" s="2296"/>
      <c r="C1169" s="2296"/>
      <c r="D1169" s="2296"/>
      <c r="E1169" s="1456"/>
      <c r="R1169" s="1457"/>
      <c r="S1169" s="1457"/>
      <c r="T1169" s="1457"/>
      <c r="U1169" s="1457"/>
      <c r="V1169" s="1457"/>
      <c r="W1169" s="1457"/>
      <c r="X1169" s="1457"/>
      <c r="Y1169" s="1457"/>
    </row>
    <row r="1170" spans="1:25" x14ac:dyDescent="0.2">
      <c r="A1170" s="2296"/>
      <c r="B1170" s="2296"/>
      <c r="C1170" s="2296"/>
      <c r="D1170" s="2296"/>
      <c r="E1170" s="1456"/>
      <c r="R1170" s="1457"/>
      <c r="S1170" s="1457"/>
      <c r="T1170" s="1457"/>
      <c r="U1170" s="1457"/>
      <c r="V1170" s="1457"/>
      <c r="W1170" s="1457"/>
      <c r="X1170" s="1457"/>
      <c r="Y1170" s="1457"/>
    </row>
    <row r="1171" spans="1:25" x14ac:dyDescent="0.2">
      <c r="A1171" s="2296"/>
      <c r="B1171" s="2296"/>
      <c r="C1171" s="2296"/>
      <c r="D1171" s="2296"/>
      <c r="E1171" s="1456"/>
      <c r="R1171" s="1457"/>
      <c r="S1171" s="1457"/>
      <c r="T1171" s="1457"/>
      <c r="U1171" s="1457"/>
      <c r="V1171" s="1457"/>
      <c r="W1171" s="1457"/>
      <c r="X1171" s="1457"/>
      <c r="Y1171" s="1457"/>
    </row>
    <row r="1172" spans="1:25" x14ac:dyDescent="0.2">
      <c r="A1172" s="2296"/>
      <c r="B1172" s="2296"/>
      <c r="C1172" s="2296"/>
      <c r="D1172" s="2296"/>
      <c r="E1172" s="1456"/>
      <c r="R1172" s="1457"/>
      <c r="S1172" s="1457"/>
      <c r="T1172" s="1457"/>
      <c r="U1172" s="1457"/>
      <c r="V1172" s="1457"/>
      <c r="W1172" s="1457"/>
      <c r="X1172" s="1457"/>
      <c r="Y1172" s="1457"/>
    </row>
    <row r="1173" spans="1:25" x14ac:dyDescent="0.2">
      <c r="A1173" s="2296"/>
      <c r="B1173" s="2296"/>
      <c r="C1173" s="2296"/>
      <c r="D1173" s="2296"/>
      <c r="E1173" s="1456"/>
      <c r="R1173" s="1457"/>
      <c r="S1173" s="1457"/>
      <c r="T1173" s="1457"/>
      <c r="U1173" s="1457"/>
      <c r="V1173" s="1457"/>
      <c r="W1173" s="1457"/>
      <c r="X1173" s="1457"/>
      <c r="Y1173" s="1457"/>
    </row>
    <row r="1174" spans="1:25" x14ac:dyDescent="0.2">
      <c r="A1174" s="2296"/>
      <c r="B1174" s="2296"/>
      <c r="C1174" s="2296"/>
      <c r="D1174" s="2296"/>
      <c r="E1174" s="1456"/>
      <c r="R1174" s="1457"/>
      <c r="S1174" s="1457"/>
      <c r="T1174" s="1457"/>
      <c r="U1174" s="1457"/>
      <c r="V1174" s="1457"/>
      <c r="W1174" s="1457"/>
      <c r="X1174" s="1457"/>
      <c r="Y1174" s="1457"/>
    </row>
    <row r="1175" spans="1:25" x14ac:dyDescent="0.2">
      <c r="A1175" s="2296"/>
      <c r="B1175" s="2296"/>
      <c r="C1175" s="2296"/>
      <c r="D1175" s="2296"/>
      <c r="E1175" s="1456"/>
      <c r="R1175" s="1457"/>
      <c r="S1175" s="1457"/>
      <c r="T1175" s="1457"/>
      <c r="U1175" s="1457"/>
      <c r="V1175" s="1457"/>
      <c r="W1175" s="1457"/>
      <c r="X1175" s="1457"/>
      <c r="Y1175" s="1457"/>
    </row>
    <row r="1176" spans="1:25" x14ac:dyDescent="0.2">
      <c r="A1176" s="2296"/>
      <c r="B1176" s="2296"/>
      <c r="C1176" s="2296"/>
      <c r="D1176" s="2296"/>
      <c r="E1176" s="1456"/>
      <c r="R1176" s="1457"/>
      <c r="S1176" s="1457"/>
      <c r="T1176" s="1457"/>
      <c r="U1176" s="1457"/>
      <c r="V1176" s="1457"/>
      <c r="W1176" s="1457"/>
      <c r="X1176" s="1457"/>
      <c r="Y1176" s="1457"/>
    </row>
    <row r="1177" spans="1:25" x14ac:dyDescent="0.2">
      <c r="A1177" s="2296"/>
      <c r="B1177" s="2296"/>
      <c r="C1177" s="2296"/>
      <c r="D1177" s="2296"/>
      <c r="E1177" s="1456"/>
      <c r="R1177" s="1457"/>
      <c r="S1177" s="1457"/>
      <c r="T1177" s="1457"/>
      <c r="U1177" s="1457"/>
      <c r="V1177" s="1457"/>
      <c r="W1177" s="1457"/>
      <c r="X1177" s="1457"/>
      <c r="Y1177" s="1457"/>
    </row>
    <row r="1178" spans="1:25" x14ac:dyDescent="0.2">
      <c r="A1178" s="2296"/>
      <c r="B1178" s="2296"/>
      <c r="C1178" s="2296"/>
      <c r="D1178" s="2296"/>
      <c r="E1178" s="1456"/>
      <c r="R1178" s="1457"/>
      <c r="S1178" s="1457"/>
      <c r="T1178" s="1457"/>
      <c r="U1178" s="1457"/>
      <c r="V1178" s="1457"/>
      <c r="W1178" s="1457"/>
      <c r="X1178" s="1457"/>
      <c r="Y1178" s="1457"/>
    </row>
    <row r="1179" spans="1:25" x14ac:dyDescent="0.2">
      <c r="A1179" s="2296"/>
      <c r="B1179" s="2296"/>
      <c r="C1179" s="2296"/>
      <c r="D1179" s="2296"/>
      <c r="E1179" s="1456"/>
      <c r="R1179" s="1457"/>
      <c r="S1179" s="1457"/>
      <c r="T1179" s="1457"/>
      <c r="U1179" s="1457"/>
      <c r="V1179" s="1457"/>
      <c r="W1179" s="1457"/>
      <c r="X1179" s="1457"/>
      <c r="Y1179" s="1457"/>
    </row>
    <row r="1180" spans="1:25" x14ac:dyDescent="0.2">
      <c r="A1180" s="2296"/>
      <c r="B1180" s="2296"/>
      <c r="C1180" s="2296"/>
      <c r="D1180" s="2296"/>
      <c r="E1180" s="1456"/>
      <c r="R1180" s="1457"/>
      <c r="S1180" s="1457"/>
      <c r="T1180" s="1457"/>
      <c r="U1180" s="1457"/>
      <c r="V1180" s="1457"/>
      <c r="W1180" s="1457"/>
      <c r="X1180" s="1457"/>
      <c r="Y1180" s="1457"/>
    </row>
    <row r="1181" spans="1:25" x14ac:dyDescent="0.2">
      <c r="A1181" s="2296"/>
      <c r="B1181" s="2296"/>
      <c r="C1181" s="2296"/>
      <c r="D1181" s="2296"/>
      <c r="E1181" s="1456"/>
      <c r="R1181" s="1457"/>
      <c r="S1181" s="1457"/>
      <c r="T1181" s="1457"/>
      <c r="U1181" s="1457"/>
      <c r="V1181" s="1457"/>
      <c r="W1181" s="1457"/>
      <c r="X1181" s="1457"/>
      <c r="Y1181" s="1457"/>
    </row>
    <row r="1182" spans="1:25" x14ac:dyDescent="0.2">
      <c r="A1182" s="2296"/>
      <c r="B1182" s="2296"/>
      <c r="C1182" s="2296"/>
      <c r="D1182" s="2296"/>
      <c r="E1182" s="1456"/>
      <c r="R1182" s="1457"/>
      <c r="S1182" s="1457"/>
      <c r="T1182" s="1457"/>
      <c r="U1182" s="1457"/>
      <c r="V1182" s="1457"/>
      <c r="W1182" s="1457"/>
      <c r="X1182" s="1457"/>
      <c r="Y1182" s="1457"/>
    </row>
    <row r="1183" spans="1:25" x14ac:dyDescent="0.2">
      <c r="A1183" s="2296"/>
      <c r="B1183" s="2296"/>
      <c r="C1183" s="2296"/>
      <c r="D1183" s="2296"/>
      <c r="E1183" s="1456"/>
      <c r="R1183" s="1457"/>
      <c r="S1183" s="1457"/>
      <c r="T1183" s="1457"/>
      <c r="U1183" s="1457"/>
      <c r="V1183" s="1457"/>
      <c r="W1183" s="1457"/>
      <c r="X1183" s="1457"/>
      <c r="Y1183" s="1457"/>
    </row>
    <row r="1184" spans="1:25" x14ac:dyDescent="0.2">
      <c r="A1184" s="2296"/>
      <c r="B1184" s="2296"/>
      <c r="C1184" s="2296"/>
      <c r="D1184" s="2296"/>
      <c r="E1184" s="1456"/>
      <c r="R1184" s="1457"/>
      <c r="S1184" s="1457"/>
      <c r="T1184" s="1457"/>
      <c r="U1184" s="1457"/>
      <c r="V1184" s="1457"/>
      <c r="W1184" s="1457"/>
      <c r="X1184" s="1457"/>
      <c r="Y1184" s="1457"/>
    </row>
    <row r="1185" spans="1:25" x14ac:dyDescent="0.2">
      <c r="A1185" s="2296"/>
      <c r="B1185" s="2296"/>
      <c r="C1185" s="2296"/>
      <c r="D1185" s="2296"/>
      <c r="E1185" s="1456"/>
      <c r="R1185" s="1457"/>
      <c r="S1185" s="1457"/>
      <c r="T1185" s="1457"/>
      <c r="U1185" s="1457"/>
      <c r="V1185" s="1457"/>
      <c r="W1185" s="1457"/>
      <c r="X1185" s="1457"/>
      <c r="Y1185" s="1457"/>
    </row>
    <row r="1186" spans="1:25" x14ac:dyDescent="0.2">
      <c r="A1186" s="2296"/>
      <c r="B1186" s="2296"/>
      <c r="C1186" s="2296"/>
      <c r="D1186" s="2296"/>
      <c r="E1186" s="1456"/>
      <c r="R1186" s="1457"/>
      <c r="S1186" s="1457"/>
      <c r="T1186" s="1457"/>
      <c r="U1186" s="1457"/>
      <c r="V1186" s="1457"/>
      <c r="W1186" s="1457"/>
      <c r="X1186" s="1457"/>
      <c r="Y1186" s="1457"/>
    </row>
    <row r="1187" spans="1:25" x14ac:dyDescent="0.2">
      <c r="A1187" s="2296"/>
      <c r="B1187" s="2296"/>
      <c r="C1187" s="2296"/>
      <c r="D1187" s="2296"/>
      <c r="E1187" s="1456"/>
      <c r="R1187" s="1457"/>
      <c r="S1187" s="1457"/>
      <c r="T1187" s="1457"/>
      <c r="U1187" s="1457"/>
      <c r="V1187" s="1457"/>
      <c r="W1187" s="1457"/>
      <c r="X1187" s="1457"/>
      <c r="Y1187" s="1457"/>
    </row>
    <row r="1188" spans="1:25" x14ac:dyDescent="0.2">
      <c r="A1188" s="2296"/>
      <c r="B1188" s="2296"/>
      <c r="C1188" s="2296"/>
      <c r="D1188" s="2296"/>
      <c r="E1188" s="1456"/>
      <c r="R1188" s="1457"/>
      <c r="S1188" s="1457"/>
      <c r="T1188" s="1457"/>
      <c r="U1188" s="1457"/>
      <c r="V1188" s="1457"/>
      <c r="W1188" s="1457"/>
      <c r="X1188" s="1457"/>
      <c r="Y1188" s="1457"/>
    </row>
    <row r="1189" spans="1:25" x14ac:dyDescent="0.2">
      <c r="A1189" s="2296"/>
      <c r="B1189" s="2296"/>
      <c r="C1189" s="2296"/>
      <c r="D1189" s="2296"/>
      <c r="E1189" s="1456"/>
      <c r="R1189" s="1457"/>
      <c r="S1189" s="1457"/>
      <c r="T1189" s="1457"/>
      <c r="U1189" s="1457"/>
      <c r="V1189" s="1457"/>
      <c r="W1189" s="1457"/>
      <c r="X1189" s="1457"/>
      <c r="Y1189" s="1457"/>
    </row>
    <row r="1190" spans="1:25" x14ac:dyDescent="0.2">
      <c r="A1190" s="2296"/>
      <c r="B1190" s="2296"/>
      <c r="C1190" s="2296"/>
      <c r="D1190" s="2296"/>
      <c r="E1190" s="1456"/>
      <c r="R1190" s="1457"/>
      <c r="S1190" s="1457"/>
      <c r="T1190" s="1457"/>
      <c r="U1190" s="1457"/>
      <c r="V1190" s="1457"/>
      <c r="W1190" s="1457"/>
      <c r="X1190" s="1457"/>
      <c r="Y1190" s="1457"/>
    </row>
    <row r="1191" spans="1:25" x14ac:dyDescent="0.2">
      <c r="A1191" s="2296"/>
      <c r="B1191" s="2296"/>
      <c r="C1191" s="2296"/>
      <c r="D1191" s="2296"/>
      <c r="E1191" s="1456"/>
      <c r="R1191" s="1457"/>
      <c r="S1191" s="1457"/>
      <c r="T1191" s="1457"/>
      <c r="U1191" s="1457"/>
      <c r="V1191" s="1457"/>
      <c r="W1191" s="1457"/>
      <c r="X1191" s="1457"/>
      <c r="Y1191" s="1457"/>
    </row>
    <row r="1192" spans="1:25" x14ac:dyDescent="0.2">
      <c r="A1192" s="2296"/>
      <c r="B1192" s="2296"/>
      <c r="C1192" s="2296"/>
      <c r="D1192" s="2296"/>
      <c r="E1192" s="1456"/>
      <c r="R1192" s="1457"/>
      <c r="S1192" s="1457"/>
      <c r="T1192" s="1457"/>
      <c r="U1192" s="1457"/>
      <c r="V1192" s="1457"/>
      <c r="W1192" s="1457"/>
      <c r="X1192" s="1457"/>
      <c r="Y1192" s="1457"/>
    </row>
    <row r="1193" spans="1:25" x14ac:dyDescent="0.2">
      <c r="A1193" s="2296"/>
      <c r="B1193" s="2296"/>
      <c r="C1193" s="2296"/>
      <c r="D1193" s="2296"/>
      <c r="E1193" s="1456"/>
      <c r="R1193" s="1457"/>
      <c r="S1193" s="1457"/>
      <c r="T1193" s="1457"/>
      <c r="U1193" s="1457"/>
      <c r="V1193" s="1457"/>
      <c r="W1193" s="1457"/>
      <c r="X1193" s="1457"/>
      <c r="Y1193" s="1457"/>
    </row>
    <row r="1194" spans="1:25" x14ac:dyDescent="0.2">
      <c r="A1194" s="2296"/>
      <c r="B1194" s="2296"/>
      <c r="C1194" s="2296"/>
      <c r="D1194" s="2296"/>
      <c r="E1194" s="1456"/>
      <c r="R1194" s="1457"/>
      <c r="S1194" s="1457"/>
      <c r="T1194" s="1457"/>
      <c r="U1194" s="1457"/>
      <c r="V1194" s="1457"/>
      <c r="W1194" s="1457"/>
      <c r="X1194" s="1457"/>
      <c r="Y1194" s="1457"/>
    </row>
    <row r="1195" spans="1:25" x14ac:dyDescent="0.2">
      <c r="A1195" s="2296"/>
      <c r="B1195" s="2296"/>
      <c r="C1195" s="2296"/>
      <c r="D1195" s="2296"/>
      <c r="E1195" s="1456"/>
      <c r="R1195" s="1457"/>
      <c r="S1195" s="1457"/>
      <c r="T1195" s="1457"/>
      <c r="U1195" s="1457"/>
      <c r="V1195" s="1457"/>
      <c r="W1195" s="1457"/>
      <c r="X1195" s="1457"/>
      <c r="Y1195" s="1457"/>
    </row>
    <row r="1196" spans="1:25" x14ac:dyDescent="0.2">
      <c r="A1196" s="2296"/>
      <c r="B1196" s="2296"/>
      <c r="C1196" s="2296"/>
      <c r="D1196" s="2296"/>
      <c r="E1196" s="1456"/>
      <c r="R1196" s="1457"/>
      <c r="S1196" s="1457"/>
      <c r="T1196" s="1457"/>
      <c r="U1196" s="1457"/>
      <c r="V1196" s="1457"/>
      <c r="W1196" s="1457"/>
      <c r="X1196" s="1457"/>
      <c r="Y1196" s="1457"/>
    </row>
    <row r="1197" spans="1:25" x14ac:dyDescent="0.2">
      <c r="A1197" s="2296"/>
      <c r="B1197" s="2296"/>
      <c r="C1197" s="2296"/>
      <c r="D1197" s="2296"/>
      <c r="E1197" s="1456"/>
      <c r="R1197" s="1457"/>
      <c r="S1197" s="1457"/>
      <c r="T1197" s="1457"/>
      <c r="U1197" s="1457"/>
      <c r="V1197" s="1457"/>
      <c r="W1197" s="1457"/>
      <c r="X1197" s="1457"/>
      <c r="Y1197" s="1457"/>
    </row>
    <row r="1198" spans="1:25" x14ac:dyDescent="0.2">
      <c r="A1198" s="2296"/>
      <c r="B1198" s="2296"/>
      <c r="C1198" s="2296"/>
      <c r="D1198" s="2296"/>
      <c r="E1198" s="1456"/>
      <c r="R1198" s="1457"/>
      <c r="S1198" s="1457"/>
      <c r="T1198" s="1457"/>
      <c r="U1198" s="1457"/>
      <c r="V1198" s="1457"/>
      <c r="W1198" s="1457"/>
      <c r="X1198" s="1457"/>
      <c r="Y1198" s="1457"/>
    </row>
    <row r="1199" spans="1:25" x14ac:dyDescent="0.2">
      <c r="A1199" s="2296"/>
      <c r="B1199" s="2296"/>
      <c r="C1199" s="2296"/>
      <c r="D1199" s="2296"/>
      <c r="E1199" s="1456"/>
      <c r="R1199" s="1457"/>
      <c r="S1199" s="1457"/>
      <c r="T1199" s="1457"/>
      <c r="U1199" s="1457"/>
      <c r="V1199" s="1457"/>
      <c r="W1199" s="1457"/>
      <c r="X1199" s="1457"/>
      <c r="Y1199" s="1457"/>
    </row>
    <row r="1200" spans="1:25" x14ac:dyDescent="0.2">
      <c r="A1200" s="2296"/>
      <c r="B1200" s="2296"/>
      <c r="C1200" s="2296"/>
      <c r="D1200" s="2296"/>
      <c r="E1200" s="1456"/>
      <c r="R1200" s="1457"/>
      <c r="S1200" s="1457"/>
      <c r="T1200" s="1457"/>
      <c r="U1200" s="1457"/>
      <c r="V1200" s="1457"/>
      <c r="W1200" s="1457"/>
      <c r="X1200" s="1457"/>
      <c r="Y1200" s="1457"/>
    </row>
    <row r="1201" spans="1:25" x14ac:dyDescent="0.2">
      <c r="A1201" s="2296"/>
      <c r="B1201" s="2296"/>
      <c r="C1201" s="2296"/>
      <c r="D1201" s="2296"/>
      <c r="E1201" s="1456"/>
      <c r="R1201" s="1457"/>
      <c r="S1201" s="1457"/>
      <c r="T1201" s="1457"/>
      <c r="U1201" s="1457"/>
      <c r="V1201" s="1457"/>
      <c r="W1201" s="1457"/>
      <c r="X1201" s="1457"/>
      <c r="Y1201" s="1457"/>
    </row>
    <row r="1202" spans="1:25" x14ac:dyDescent="0.2">
      <c r="A1202" s="2296"/>
      <c r="B1202" s="2296"/>
      <c r="C1202" s="2296"/>
      <c r="D1202" s="2296"/>
      <c r="E1202" s="1456"/>
      <c r="R1202" s="1457"/>
      <c r="S1202" s="1457"/>
      <c r="T1202" s="1457"/>
      <c r="U1202" s="1457"/>
      <c r="V1202" s="1457"/>
      <c r="W1202" s="1457"/>
      <c r="X1202" s="1457"/>
      <c r="Y1202" s="1457"/>
    </row>
    <row r="1203" spans="1:25" x14ac:dyDescent="0.2">
      <c r="A1203" s="2296"/>
      <c r="B1203" s="2296"/>
      <c r="C1203" s="2296"/>
      <c r="D1203" s="2296"/>
      <c r="E1203" s="1456"/>
      <c r="R1203" s="1457"/>
      <c r="S1203" s="1457"/>
      <c r="T1203" s="1457"/>
      <c r="U1203" s="1457"/>
      <c r="V1203" s="1457"/>
      <c r="W1203" s="1457"/>
      <c r="X1203" s="1457"/>
      <c r="Y1203" s="1457"/>
    </row>
    <row r="1204" spans="1:25" x14ac:dyDescent="0.2">
      <c r="A1204" s="2296"/>
      <c r="B1204" s="2296"/>
      <c r="C1204" s="2296"/>
      <c r="D1204" s="2296"/>
      <c r="E1204" s="1456"/>
      <c r="R1204" s="1457"/>
      <c r="S1204" s="1457"/>
      <c r="T1204" s="1457"/>
      <c r="U1204" s="1457"/>
      <c r="V1204" s="1457"/>
      <c r="W1204" s="1457"/>
      <c r="X1204" s="1457"/>
      <c r="Y1204" s="1457"/>
    </row>
    <row r="1205" spans="1:25" x14ac:dyDescent="0.2">
      <c r="A1205" s="2296"/>
      <c r="B1205" s="2296"/>
      <c r="C1205" s="2296"/>
      <c r="D1205" s="2296"/>
      <c r="E1205" s="1456"/>
      <c r="R1205" s="1457"/>
      <c r="S1205" s="1457"/>
      <c r="T1205" s="1457"/>
      <c r="U1205" s="1457"/>
      <c r="V1205" s="1457"/>
      <c r="W1205" s="1457"/>
      <c r="X1205" s="1457"/>
      <c r="Y1205" s="1457"/>
    </row>
    <row r="1206" spans="1:25" x14ac:dyDescent="0.2">
      <c r="A1206" s="2296"/>
      <c r="B1206" s="2296"/>
      <c r="C1206" s="2296"/>
      <c r="D1206" s="2296"/>
      <c r="E1206" s="1456"/>
      <c r="R1206" s="1457"/>
      <c r="S1206" s="1457"/>
      <c r="T1206" s="1457"/>
      <c r="U1206" s="1457"/>
      <c r="V1206" s="1457"/>
      <c r="W1206" s="1457"/>
      <c r="X1206" s="1457"/>
      <c r="Y1206" s="1457"/>
    </row>
    <row r="1207" spans="1:25" x14ac:dyDescent="0.2">
      <c r="A1207" s="2296"/>
      <c r="B1207" s="2296"/>
      <c r="C1207" s="2296"/>
      <c r="D1207" s="2296"/>
      <c r="E1207" s="1456"/>
      <c r="R1207" s="1457"/>
      <c r="S1207" s="1457"/>
      <c r="T1207" s="1457"/>
      <c r="U1207" s="1457"/>
      <c r="V1207" s="1457"/>
      <c r="W1207" s="1457"/>
      <c r="X1207" s="1457"/>
      <c r="Y1207" s="1457"/>
    </row>
    <row r="1208" spans="1:25" x14ac:dyDescent="0.2">
      <c r="A1208" s="2296"/>
      <c r="B1208" s="2296"/>
      <c r="C1208" s="2296"/>
      <c r="D1208" s="2296"/>
      <c r="E1208" s="1456"/>
      <c r="R1208" s="1457"/>
      <c r="S1208" s="1457"/>
      <c r="T1208" s="1457"/>
      <c r="U1208" s="1457"/>
      <c r="V1208" s="1457"/>
      <c r="W1208" s="1457"/>
      <c r="X1208" s="1457"/>
      <c r="Y1208" s="1457"/>
    </row>
    <row r="1209" spans="1:25" x14ac:dyDescent="0.2">
      <c r="A1209" s="2296"/>
      <c r="B1209" s="2296"/>
      <c r="C1209" s="2296"/>
      <c r="D1209" s="2296"/>
      <c r="E1209" s="1456"/>
      <c r="R1209" s="1457"/>
      <c r="S1209" s="1457"/>
      <c r="T1209" s="1457"/>
      <c r="U1209" s="1457"/>
      <c r="V1209" s="1457"/>
      <c r="W1209" s="1457"/>
      <c r="X1209" s="1457"/>
      <c r="Y1209" s="1457"/>
    </row>
    <row r="1210" spans="1:25" x14ac:dyDescent="0.2">
      <c r="A1210" s="2296"/>
      <c r="B1210" s="2296"/>
      <c r="C1210" s="2296"/>
      <c r="D1210" s="2296"/>
      <c r="E1210" s="1456"/>
      <c r="R1210" s="1457"/>
      <c r="S1210" s="1457"/>
      <c r="T1210" s="1457"/>
      <c r="U1210" s="1457"/>
      <c r="V1210" s="1457"/>
      <c r="W1210" s="1457"/>
      <c r="X1210" s="1457"/>
      <c r="Y1210" s="1457"/>
    </row>
    <row r="1211" spans="1:25" x14ac:dyDescent="0.2">
      <c r="A1211" s="2296"/>
      <c r="B1211" s="2296"/>
      <c r="C1211" s="2296"/>
      <c r="D1211" s="2296"/>
      <c r="E1211" s="1456"/>
      <c r="R1211" s="1457"/>
      <c r="S1211" s="1457"/>
      <c r="T1211" s="1457"/>
      <c r="U1211" s="1457"/>
      <c r="V1211" s="1457"/>
      <c r="W1211" s="1457"/>
      <c r="X1211" s="1457"/>
      <c r="Y1211" s="1457"/>
    </row>
    <row r="1212" spans="1:25" x14ac:dyDescent="0.2">
      <c r="A1212" s="2296"/>
      <c r="B1212" s="2296"/>
      <c r="C1212" s="2296"/>
      <c r="D1212" s="2296"/>
      <c r="E1212" s="1456"/>
      <c r="R1212" s="1457"/>
      <c r="S1212" s="1457"/>
      <c r="T1212" s="1457"/>
      <c r="U1212" s="1457"/>
      <c r="V1212" s="1457"/>
      <c r="W1212" s="1457"/>
      <c r="X1212" s="1457"/>
      <c r="Y1212" s="1457"/>
    </row>
    <row r="1213" spans="1:25" x14ac:dyDescent="0.2">
      <c r="A1213" s="2296"/>
      <c r="B1213" s="2296"/>
      <c r="C1213" s="2296"/>
      <c r="D1213" s="2296"/>
      <c r="E1213" s="1456"/>
      <c r="R1213" s="1457"/>
      <c r="S1213" s="1457"/>
      <c r="T1213" s="1457"/>
      <c r="U1213" s="1457"/>
      <c r="V1213" s="1457"/>
      <c r="W1213" s="1457"/>
      <c r="X1213" s="1457"/>
      <c r="Y1213" s="1457"/>
    </row>
    <row r="1214" spans="1:25" x14ac:dyDescent="0.2">
      <c r="A1214" s="2296"/>
      <c r="B1214" s="2296"/>
      <c r="C1214" s="2296"/>
      <c r="D1214" s="2296"/>
      <c r="E1214" s="1456"/>
      <c r="R1214" s="1457"/>
      <c r="S1214" s="1457"/>
      <c r="T1214" s="1457"/>
      <c r="U1214" s="1457"/>
      <c r="V1214" s="1457"/>
      <c r="W1214" s="1457"/>
      <c r="X1214" s="1457"/>
      <c r="Y1214" s="1457"/>
    </row>
    <row r="1215" spans="1:25" x14ac:dyDescent="0.2">
      <c r="A1215" s="2296"/>
      <c r="B1215" s="2296"/>
      <c r="C1215" s="2296"/>
      <c r="D1215" s="2296"/>
      <c r="E1215" s="1456"/>
      <c r="R1215" s="1457"/>
      <c r="S1215" s="1457"/>
      <c r="T1215" s="1457"/>
      <c r="U1215" s="1457"/>
      <c r="V1215" s="1457"/>
      <c r="W1215" s="1457"/>
      <c r="X1215" s="1457"/>
      <c r="Y1215" s="1457"/>
    </row>
    <row r="1216" spans="1:25" x14ac:dyDescent="0.2">
      <c r="A1216" s="2296"/>
      <c r="B1216" s="2296"/>
      <c r="C1216" s="2296"/>
      <c r="D1216" s="2296"/>
      <c r="E1216" s="1456"/>
      <c r="R1216" s="1457"/>
      <c r="S1216" s="1457"/>
      <c r="T1216" s="1457"/>
      <c r="U1216" s="1457"/>
      <c r="V1216" s="1457"/>
      <c r="W1216" s="1457"/>
      <c r="X1216" s="1457"/>
      <c r="Y1216" s="1457"/>
    </row>
    <row r="1217" spans="1:25" x14ac:dyDescent="0.2">
      <c r="A1217" s="2296"/>
      <c r="B1217" s="2296"/>
      <c r="C1217" s="2296"/>
      <c r="D1217" s="2296"/>
      <c r="E1217" s="1456"/>
      <c r="R1217" s="1457"/>
      <c r="S1217" s="1457"/>
      <c r="T1217" s="1457"/>
      <c r="U1217" s="1457"/>
      <c r="V1217" s="1457"/>
      <c r="W1217" s="1457"/>
      <c r="X1217" s="1457"/>
      <c r="Y1217" s="1457"/>
    </row>
    <row r="1218" spans="1:25" x14ac:dyDescent="0.2">
      <c r="A1218" s="2296"/>
      <c r="B1218" s="2296"/>
      <c r="C1218" s="2296"/>
      <c r="D1218" s="2296"/>
      <c r="E1218" s="1456"/>
      <c r="R1218" s="1457"/>
      <c r="S1218" s="1457"/>
      <c r="T1218" s="1457"/>
      <c r="U1218" s="1457"/>
      <c r="V1218" s="1457"/>
      <c r="W1218" s="1457"/>
      <c r="X1218" s="1457"/>
      <c r="Y1218" s="1457"/>
    </row>
    <row r="1219" spans="1:25" x14ac:dyDescent="0.2">
      <c r="A1219" s="2296"/>
      <c r="B1219" s="2296"/>
      <c r="C1219" s="2296"/>
      <c r="D1219" s="2296"/>
      <c r="E1219" s="1456"/>
      <c r="R1219" s="1457"/>
      <c r="S1219" s="1457"/>
      <c r="T1219" s="1457"/>
      <c r="U1219" s="1457"/>
      <c r="V1219" s="1457"/>
      <c r="W1219" s="1457"/>
      <c r="X1219" s="1457"/>
      <c r="Y1219" s="1457"/>
    </row>
    <row r="1220" spans="1:25" x14ac:dyDescent="0.2">
      <c r="A1220" s="2296"/>
      <c r="B1220" s="2296"/>
      <c r="C1220" s="2296"/>
      <c r="D1220" s="2296"/>
      <c r="E1220" s="1456"/>
      <c r="R1220" s="1457"/>
      <c r="S1220" s="1457"/>
      <c r="T1220" s="1457"/>
      <c r="U1220" s="1457"/>
      <c r="V1220" s="1457"/>
      <c r="W1220" s="1457"/>
      <c r="X1220" s="1457"/>
      <c r="Y1220" s="1457"/>
    </row>
    <row r="1221" spans="1:25" x14ac:dyDescent="0.2">
      <c r="A1221" s="2296"/>
      <c r="B1221" s="2296"/>
      <c r="C1221" s="2296"/>
      <c r="D1221" s="2296"/>
      <c r="E1221" s="1456"/>
      <c r="R1221" s="1457"/>
      <c r="S1221" s="1457"/>
      <c r="T1221" s="1457"/>
      <c r="U1221" s="1457"/>
      <c r="V1221" s="1457"/>
      <c r="W1221" s="1457"/>
      <c r="X1221" s="1457"/>
      <c r="Y1221" s="1457"/>
    </row>
    <row r="1222" spans="1:25" x14ac:dyDescent="0.2">
      <c r="A1222" s="2296"/>
      <c r="B1222" s="2296"/>
      <c r="C1222" s="2296"/>
      <c r="D1222" s="2296"/>
      <c r="E1222" s="1456"/>
      <c r="R1222" s="1457"/>
      <c r="S1222" s="1457"/>
      <c r="T1222" s="1457"/>
      <c r="U1222" s="1457"/>
      <c r="V1222" s="1457"/>
      <c r="W1222" s="1457"/>
      <c r="X1222" s="1457"/>
      <c r="Y1222" s="1457"/>
    </row>
    <row r="1223" spans="1:25" x14ac:dyDescent="0.2">
      <c r="A1223" s="2296"/>
      <c r="B1223" s="2296"/>
      <c r="C1223" s="2296"/>
      <c r="D1223" s="2296"/>
      <c r="E1223" s="1456"/>
      <c r="R1223" s="1457"/>
      <c r="S1223" s="1457"/>
      <c r="T1223" s="1457"/>
      <c r="U1223" s="1457"/>
      <c r="V1223" s="1457"/>
      <c r="W1223" s="1457"/>
      <c r="X1223" s="1457"/>
      <c r="Y1223" s="1457"/>
    </row>
    <row r="1224" spans="1:25" x14ac:dyDescent="0.2">
      <c r="A1224" s="2296"/>
      <c r="B1224" s="2296"/>
      <c r="C1224" s="2296"/>
      <c r="D1224" s="2296"/>
      <c r="E1224" s="1456"/>
      <c r="R1224" s="1457"/>
      <c r="S1224" s="1457"/>
      <c r="T1224" s="1457"/>
      <c r="U1224" s="1457"/>
      <c r="V1224" s="1457"/>
      <c r="W1224" s="1457"/>
      <c r="X1224" s="1457"/>
      <c r="Y1224" s="1457"/>
    </row>
    <row r="1225" spans="1:25" x14ac:dyDescent="0.2">
      <c r="A1225" s="2296"/>
      <c r="B1225" s="2296"/>
      <c r="C1225" s="2296"/>
      <c r="D1225" s="2296"/>
      <c r="E1225" s="1456"/>
      <c r="R1225" s="1457"/>
      <c r="S1225" s="1457"/>
      <c r="T1225" s="1457"/>
      <c r="U1225" s="1457"/>
      <c r="V1225" s="1457"/>
      <c r="W1225" s="1457"/>
      <c r="X1225" s="1457"/>
      <c r="Y1225" s="1457"/>
    </row>
    <row r="1226" spans="1:25" x14ac:dyDescent="0.2">
      <c r="A1226" s="2296"/>
      <c r="B1226" s="2296"/>
      <c r="C1226" s="2296"/>
      <c r="D1226" s="2296"/>
      <c r="E1226" s="1456"/>
      <c r="R1226" s="1457"/>
      <c r="S1226" s="1457"/>
      <c r="T1226" s="1457"/>
      <c r="U1226" s="1457"/>
      <c r="V1226" s="1457"/>
      <c r="W1226" s="1457"/>
      <c r="X1226" s="1457"/>
      <c r="Y1226" s="1457"/>
    </row>
    <row r="1227" spans="1:25" x14ac:dyDescent="0.2">
      <c r="A1227" s="2296"/>
      <c r="B1227" s="2296"/>
      <c r="C1227" s="2296"/>
      <c r="D1227" s="2296"/>
      <c r="E1227" s="1456"/>
      <c r="R1227" s="1457"/>
      <c r="S1227" s="1457"/>
      <c r="T1227" s="1457"/>
      <c r="U1227" s="1457"/>
      <c r="V1227" s="1457"/>
      <c r="W1227" s="1457"/>
      <c r="X1227" s="1457"/>
      <c r="Y1227" s="1457"/>
    </row>
    <row r="1228" spans="1:25" x14ac:dyDescent="0.2">
      <c r="A1228" s="2296"/>
      <c r="B1228" s="2296"/>
      <c r="C1228" s="2296"/>
      <c r="D1228" s="2296"/>
      <c r="E1228" s="1456"/>
      <c r="R1228" s="1457"/>
      <c r="S1228" s="1457"/>
      <c r="T1228" s="1457"/>
      <c r="U1228" s="1457"/>
      <c r="V1228" s="1457"/>
      <c r="W1228" s="1457"/>
      <c r="X1228" s="1457"/>
      <c r="Y1228" s="1457"/>
    </row>
    <row r="1229" spans="1:25" x14ac:dyDescent="0.2">
      <c r="A1229" s="2296"/>
      <c r="B1229" s="2296"/>
      <c r="C1229" s="2296"/>
      <c r="D1229" s="2296"/>
      <c r="E1229" s="1456"/>
      <c r="R1229" s="1457"/>
      <c r="S1229" s="1457"/>
      <c r="T1229" s="1457"/>
      <c r="U1229" s="1457"/>
      <c r="V1229" s="1457"/>
      <c r="W1229" s="1457"/>
      <c r="X1229" s="1457"/>
      <c r="Y1229" s="1457"/>
    </row>
    <row r="1230" spans="1:25" x14ac:dyDescent="0.2">
      <c r="A1230" s="2296"/>
      <c r="B1230" s="2296"/>
      <c r="C1230" s="2296"/>
      <c r="D1230" s="2296"/>
      <c r="E1230" s="1456"/>
      <c r="R1230" s="1457"/>
      <c r="S1230" s="1457"/>
      <c r="T1230" s="1457"/>
      <c r="U1230" s="1457"/>
      <c r="V1230" s="1457"/>
      <c r="W1230" s="1457"/>
      <c r="X1230" s="1457"/>
      <c r="Y1230" s="1457"/>
    </row>
    <row r="1231" spans="1:25" x14ac:dyDescent="0.2">
      <c r="A1231" s="2296"/>
      <c r="B1231" s="2296"/>
      <c r="C1231" s="2296"/>
      <c r="D1231" s="2296"/>
      <c r="E1231" s="1456"/>
      <c r="R1231" s="1457"/>
      <c r="S1231" s="1457"/>
      <c r="T1231" s="1457"/>
      <c r="U1231" s="1457"/>
      <c r="V1231" s="1457"/>
      <c r="W1231" s="1457"/>
      <c r="X1231" s="1457"/>
      <c r="Y1231" s="1457"/>
    </row>
    <row r="1232" spans="1:25" x14ac:dyDescent="0.2">
      <c r="A1232" s="2296"/>
      <c r="B1232" s="2296"/>
      <c r="C1232" s="2296"/>
      <c r="D1232" s="2296"/>
      <c r="E1232" s="1456"/>
      <c r="R1232" s="1457"/>
      <c r="S1232" s="1457"/>
      <c r="T1232" s="1457"/>
      <c r="U1232" s="1457"/>
      <c r="V1232" s="1457"/>
      <c r="W1232" s="1457"/>
      <c r="X1232" s="1457"/>
      <c r="Y1232" s="1457"/>
    </row>
    <row r="1233" spans="1:25" x14ac:dyDescent="0.2">
      <c r="A1233" s="2296"/>
      <c r="B1233" s="2296"/>
      <c r="C1233" s="2296"/>
      <c r="D1233" s="2296"/>
      <c r="E1233" s="1456"/>
      <c r="R1233" s="1457"/>
      <c r="S1233" s="1457"/>
      <c r="T1233" s="1457"/>
      <c r="U1233" s="1457"/>
      <c r="V1233" s="1457"/>
      <c r="W1233" s="1457"/>
      <c r="X1233" s="1457"/>
      <c r="Y1233" s="1457"/>
    </row>
    <row r="1234" spans="1:25" x14ac:dyDescent="0.2">
      <c r="A1234" s="2296"/>
      <c r="B1234" s="2296"/>
      <c r="C1234" s="2296"/>
      <c r="D1234" s="2296"/>
      <c r="E1234" s="1456"/>
      <c r="R1234" s="1457"/>
      <c r="S1234" s="1457"/>
      <c r="T1234" s="1457"/>
      <c r="U1234" s="1457"/>
      <c r="V1234" s="1457"/>
      <c r="W1234" s="1457"/>
      <c r="X1234" s="1457"/>
      <c r="Y1234" s="1457"/>
    </row>
    <row r="1235" spans="1:25" x14ac:dyDescent="0.2">
      <c r="A1235" s="2296"/>
      <c r="B1235" s="2296"/>
      <c r="C1235" s="2296"/>
      <c r="D1235" s="2296"/>
      <c r="E1235" s="1456"/>
      <c r="R1235" s="1457"/>
      <c r="S1235" s="1457"/>
      <c r="T1235" s="1457"/>
      <c r="U1235" s="1457"/>
      <c r="V1235" s="1457"/>
      <c r="W1235" s="1457"/>
      <c r="X1235" s="1457"/>
      <c r="Y1235" s="1457"/>
    </row>
    <row r="1236" spans="1:25" x14ac:dyDescent="0.2">
      <c r="A1236" s="2296"/>
      <c r="B1236" s="2296"/>
      <c r="C1236" s="2296"/>
      <c r="D1236" s="2296"/>
      <c r="E1236" s="1456"/>
      <c r="R1236" s="1457"/>
      <c r="S1236" s="1457"/>
      <c r="T1236" s="1457"/>
      <c r="U1236" s="1457"/>
      <c r="V1236" s="1457"/>
      <c r="W1236" s="1457"/>
      <c r="X1236" s="1457"/>
      <c r="Y1236" s="1457"/>
    </row>
    <row r="1237" spans="1:25" x14ac:dyDescent="0.2">
      <c r="A1237" s="2296"/>
      <c r="B1237" s="2296"/>
      <c r="C1237" s="2296"/>
      <c r="D1237" s="2296"/>
      <c r="E1237" s="1456"/>
      <c r="R1237" s="1457"/>
      <c r="S1237" s="1457"/>
      <c r="T1237" s="1457"/>
      <c r="U1237" s="1457"/>
      <c r="V1237" s="1457"/>
      <c r="W1237" s="1457"/>
      <c r="X1237" s="1457"/>
      <c r="Y1237" s="1457"/>
    </row>
    <row r="1238" spans="1:25" x14ac:dyDescent="0.2">
      <c r="A1238" s="2296"/>
      <c r="B1238" s="2296"/>
      <c r="C1238" s="2296"/>
      <c r="D1238" s="2296"/>
      <c r="E1238" s="1456"/>
      <c r="R1238" s="1457"/>
      <c r="S1238" s="1457"/>
      <c r="T1238" s="1457"/>
      <c r="U1238" s="1457"/>
      <c r="V1238" s="1457"/>
      <c r="W1238" s="1457"/>
      <c r="X1238" s="1457"/>
      <c r="Y1238" s="1457"/>
    </row>
    <row r="1239" spans="1:25" x14ac:dyDescent="0.2">
      <c r="A1239" s="2296"/>
      <c r="B1239" s="2296"/>
      <c r="C1239" s="2296"/>
      <c r="D1239" s="2296"/>
      <c r="E1239" s="1456"/>
      <c r="R1239" s="1457"/>
      <c r="S1239" s="1457"/>
      <c r="T1239" s="1457"/>
      <c r="U1239" s="1457"/>
      <c r="V1239" s="1457"/>
      <c r="W1239" s="1457"/>
      <c r="X1239" s="1457"/>
      <c r="Y1239" s="1457"/>
    </row>
    <row r="1240" spans="1:25" x14ac:dyDescent="0.2">
      <c r="A1240" s="2296"/>
      <c r="B1240" s="2296"/>
      <c r="C1240" s="2296"/>
      <c r="D1240" s="2296"/>
      <c r="E1240" s="1456"/>
      <c r="R1240" s="1457"/>
      <c r="S1240" s="1457"/>
      <c r="T1240" s="1457"/>
      <c r="U1240" s="1457"/>
      <c r="V1240" s="1457"/>
      <c r="W1240" s="1457"/>
      <c r="X1240" s="1457"/>
      <c r="Y1240" s="1457"/>
    </row>
    <row r="1241" spans="1:25" x14ac:dyDescent="0.2">
      <c r="A1241" s="2296"/>
      <c r="B1241" s="2296"/>
      <c r="C1241" s="2296"/>
      <c r="D1241" s="2296"/>
      <c r="E1241" s="1456"/>
      <c r="R1241" s="1457"/>
      <c r="S1241" s="1457"/>
      <c r="T1241" s="1457"/>
      <c r="U1241" s="1457"/>
      <c r="V1241" s="1457"/>
      <c r="W1241" s="1457"/>
      <c r="X1241" s="1457"/>
      <c r="Y1241" s="1457"/>
    </row>
    <row r="1242" spans="1:25" x14ac:dyDescent="0.2">
      <c r="A1242" s="2296"/>
      <c r="B1242" s="2296"/>
      <c r="C1242" s="2296"/>
      <c r="D1242" s="2296"/>
      <c r="E1242" s="1456"/>
      <c r="R1242" s="1457"/>
      <c r="S1242" s="1457"/>
      <c r="T1242" s="1457"/>
      <c r="U1242" s="1457"/>
      <c r="V1242" s="1457"/>
      <c r="W1242" s="1457"/>
      <c r="X1242" s="1457"/>
      <c r="Y1242" s="1457"/>
    </row>
    <row r="1243" spans="1:25" x14ac:dyDescent="0.2">
      <c r="A1243" s="2296"/>
      <c r="B1243" s="2296"/>
      <c r="C1243" s="2296"/>
      <c r="D1243" s="2296"/>
      <c r="E1243" s="1456"/>
      <c r="R1243" s="1457"/>
      <c r="S1243" s="1457"/>
      <c r="T1243" s="1457"/>
      <c r="U1243" s="1457"/>
      <c r="V1243" s="1457"/>
      <c r="W1243" s="1457"/>
      <c r="X1243" s="1457"/>
      <c r="Y1243" s="1457"/>
    </row>
    <row r="1244" spans="1:25" x14ac:dyDescent="0.2">
      <c r="A1244" s="2296"/>
      <c r="B1244" s="2296"/>
      <c r="C1244" s="2296"/>
      <c r="D1244" s="2296"/>
      <c r="E1244" s="1456"/>
      <c r="R1244" s="1457"/>
      <c r="S1244" s="1457"/>
      <c r="T1244" s="1457"/>
      <c r="U1244" s="1457"/>
      <c r="V1244" s="1457"/>
      <c r="W1244" s="1457"/>
      <c r="X1244" s="1457"/>
      <c r="Y1244" s="1457"/>
    </row>
    <row r="1245" spans="1:25" x14ac:dyDescent="0.2">
      <c r="A1245" s="2296"/>
      <c r="B1245" s="2296"/>
      <c r="C1245" s="2296"/>
      <c r="D1245" s="2296"/>
      <c r="E1245" s="1456"/>
      <c r="R1245" s="1457"/>
      <c r="S1245" s="1457"/>
      <c r="T1245" s="1457"/>
      <c r="U1245" s="1457"/>
      <c r="V1245" s="1457"/>
      <c r="W1245" s="1457"/>
      <c r="X1245" s="1457"/>
      <c r="Y1245" s="1457"/>
    </row>
    <row r="1246" spans="1:25" x14ac:dyDescent="0.2">
      <c r="A1246" s="2296"/>
      <c r="B1246" s="2296"/>
      <c r="C1246" s="2296"/>
      <c r="D1246" s="2296"/>
      <c r="E1246" s="1456"/>
      <c r="R1246" s="1457"/>
      <c r="S1246" s="1457"/>
      <c r="T1246" s="1457"/>
      <c r="U1246" s="1457"/>
      <c r="V1246" s="1457"/>
      <c r="W1246" s="1457"/>
      <c r="X1246" s="1457"/>
      <c r="Y1246" s="1457"/>
    </row>
    <row r="1247" spans="1:25" x14ac:dyDescent="0.2">
      <c r="A1247" s="2296"/>
      <c r="B1247" s="2296"/>
      <c r="C1247" s="2296"/>
      <c r="D1247" s="2296"/>
      <c r="E1247" s="1456"/>
      <c r="R1247" s="1457"/>
      <c r="S1247" s="1457"/>
      <c r="T1247" s="1457"/>
      <c r="U1247" s="1457"/>
      <c r="V1247" s="1457"/>
      <c r="W1247" s="1457"/>
      <c r="X1247" s="1457"/>
      <c r="Y1247" s="1457"/>
    </row>
    <row r="1248" spans="1:25" x14ac:dyDescent="0.2">
      <c r="A1248" s="2296"/>
      <c r="B1248" s="2296"/>
      <c r="C1248" s="2296"/>
      <c r="D1248" s="2296"/>
      <c r="E1248" s="1456"/>
      <c r="R1248" s="1457"/>
      <c r="S1248" s="1457"/>
      <c r="T1248" s="1457"/>
      <c r="U1248" s="1457"/>
      <c r="V1248" s="1457"/>
      <c r="W1248" s="1457"/>
      <c r="X1248" s="1457"/>
      <c r="Y1248" s="1457"/>
    </row>
    <row r="1249" spans="1:25" x14ac:dyDescent="0.2">
      <c r="A1249" s="2296"/>
      <c r="B1249" s="2296"/>
      <c r="C1249" s="2296"/>
      <c r="D1249" s="2296"/>
      <c r="E1249" s="1456"/>
      <c r="R1249" s="1457"/>
      <c r="S1249" s="1457"/>
      <c r="T1249" s="1457"/>
      <c r="U1249" s="1457"/>
      <c r="V1249" s="1457"/>
      <c r="W1249" s="1457"/>
      <c r="X1249" s="1457"/>
      <c r="Y1249" s="1457"/>
    </row>
    <row r="1250" spans="1:25" x14ac:dyDescent="0.2">
      <c r="A1250" s="2296"/>
      <c r="B1250" s="2296"/>
      <c r="C1250" s="2296"/>
      <c r="D1250" s="2296"/>
      <c r="E1250" s="1456"/>
      <c r="R1250" s="1457"/>
      <c r="S1250" s="1457"/>
      <c r="T1250" s="1457"/>
      <c r="U1250" s="1457"/>
      <c r="V1250" s="1457"/>
      <c r="W1250" s="1457"/>
      <c r="X1250" s="1457"/>
      <c r="Y1250" s="1457"/>
    </row>
    <row r="1251" spans="1:25" x14ac:dyDescent="0.2">
      <c r="A1251" s="2296"/>
      <c r="B1251" s="2296"/>
      <c r="C1251" s="2296"/>
      <c r="D1251" s="2296"/>
      <c r="E1251" s="1456"/>
      <c r="R1251" s="1457"/>
      <c r="S1251" s="1457"/>
      <c r="T1251" s="1457"/>
      <c r="U1251" s="1457"/>
      <c r="V1251" s="1457"/>
      <c r="W1251" s="1457"/>
      <c r="X1251" s="1457"/>
      <c r="Y1251" s="1457"/>
    </row>
    <row r="1252" spans="1:25" x14ac:dyDescent="0.2">
      <c r="A1252" s="2296"/>
      <c r="B1252" s="2296"/>
      <c r="C1252" s="2296"/>
      <c r="D1252" s="2296"/>
      <c r="E1252" s="1456"/>
      <c r="R1252" s="1457"/>
      <c r="S1252" s="1457"/>
      <c r="T1252" s="1457"/>
      <c r="U1252" s="1457"/>
      <c r="V1252" s="1457"/>
      <c r="W1252" s="1457"/>
      <c r="X1252" s="1457"/>
      <c r="Y1252" s="1457"/>
    </row>
    <row r="1253" spans="1:25" x14ac:dyDescent="0.2">
      <c r="A1253" s="2296"/>
      <c r="B1253" s="2296"/>
      <c r="C1253" s="2296"/>
      <c r="D1253" s="2296"/>
      <c r="E1253" s="1456"/>
      <c r="R1253" s="1457"/>
      <c r="S1253" s="1457"/>
      <c r="T1253" s="1457"/>
      <c r="U1253" s="1457"/>
      <c r="V1253" s="1457"/>
      <c r="W1253" s="1457"/>
      <c r="X1253" s="1457"/>
      <c r="Y1253" s="1457"/>
    </row>
    <row r="1254" spans="1:25" x14ac:dyDescent="0.2">
      <c r="A1254" s="2296"/>
      <c r="B1254" s="2296"/>
      <c r="C1254" s="2296"/>
      <c r="D1254" s="2296"/>
      <c r="E1254" s="1456"/>
      <c r="R1254" s="1457"/>
      <c r="S1254" s="1457"/>
      <c r="T1254" s="1457"/>
      <c r="U1254" s="1457"/>
      <c r="V1254" s="1457"/>
      <c r="W1254" s="1457"/>
      <c r="X1254" s="1457"/>
      <c r="Y1254" s="1457"/>
    </row>
    <row r="1255" spans="1:25" x14ac:dyDescent="0.2">
      <c r="A1255" s="2296"/>
      <c r="B1255" s="2296"/>
      <c r="C1255" s="2296"/>
      <c r="D1255" s="2296"/>
      <c r="E1255" s="1456"/>
      <c r="R1255" s="1457"/>
      <c r="S1255" s="1457"/>
      <c r="T1255" s="1457"/>
      <c r="U1255" s="1457"/>
      <c r="V1255" s="1457"/>
      <c r="W1255" s="1457"/>
      <c r="X1255" s="1457"/>
      <c r="Y1255" s="1457"/>
    </row>
    <row r="1256" spans="1:25" x14ac:dyDescent="0.2">
      <c r="A1256" s="2296"/>
      <c r="B1256" s="2296"/>
      <c r="C1256" s="2296"/>
      <c r="D1256" s="2296"/>
      <c r="E1256" s="1456"/>
      <c r="R1256" s="1457"/>
      <c r="S1256" s="1457"/>
      <c r="T1256" s="1457"/>
      <c r="U1256" s="1457"/>
      <c r="V1256" s="1457"/>
      <c r="W1256" s="1457"/>
      <c r="X1256" s="1457"/>
      <c r="Y1256" s="1457"/>
    </row>
    <row r="1257" spans="1:25" x14ac:dyDescent="0.2">
      <c r="A1257" s="2296"/>
      <c r="B1257" s="2296"/>
      <c r="C1257" s="2296"/>
      <c r="D1257" s="2296"/>
      <c r="E1257" s="1456"/>
      <c r="R1257" s="1457"/>
      <c r="S1257" s="1457"/>
      <c r="T1257" s="1457"/>
      <c r="U1257" s="1457"/>
      <c r="V1257" s="1457"/>
      <c r="W1257" s="1457"/>
      <c r="X1257" s="1457"/>
      <c r="Y1257" s="1457"/>
    </row>
    <row r="1258" spans="1:25" x14ac:dyDescent="0.2">
      <c r="A1258" s="2296"/>
      <c r="B1258" s="2296"/>
      <c r="C1258" s="2296"/>
      <c r="D1258" s="2296"/>
      <c r="E1258" s="1456"/>
      <c r="R1258" s="1457"/>
      <c r="S1258" s="1457"/>
      <c r="T1258" s="1457"/>
      <c r="U1258" s="1457"/>
      <c r="V1258" s="1457"/>
      <c r="W1258" s="1457"/>
      <c r="X1258" s="1457"/>
      <c r="Y1258" s="1457"/>
    </row>
    <row r="1259" spans="1:25" x14ac:dyDescent="0.2">
      <c r="A1259" s="2296"/>
      <c r="B1259" s="2296"/>
      <c r="C1259" s="2296"/>
      <c r="D1259" s="2296"/>
      <c r="E1259" s="1456"/>
      <c r="R1259" s="1457"/>
      <c r="S1259" s="1457"/>
      <c r="T1259" s="1457"/>
      <c r="U1259" s="1457"/>
      <c r="V1259" s="1457"/>
      <c r="W1259" s="1457"/>
      <c r="X1259" s="1457"/>
      <c r="Y1259" s="1457"/>
    </row>
    <row r="1260" spans="1:25" x14ac:dyDescent="0.2">
      <c r="A1260" s="2296"/>
      <c r="B1260" s="2296"/>
      <c r="C1260" s="2296"/>
      <c r="D1260" s="2296"/>
      <c r="E1260" s="1456"/>
      <c r="R1260" s="1457"/>
      <c r="S1260" s="1457"/>
      <c r="T1260" s="1457"/>
      <c r="U1260" s="1457"/>
      <c r="V1260" s="1457"/>
      <c r="W1260" s="1457"/>
      <c r="X1260" s="1457"/>
      <c r="Y1260" s="1457"/>
    </row>
    <row r="1261" spans="1:25" x14ac:dyDescent="0.2">
      <c r="A1261" s="2296"/>
      <c r="B1261" s="2296"/>
      <c r="C1261" s="2296"/>
      <c r="D1261" s="2296"/>
      <c r="E1261" s="1456"/>
      <c r="R1261" s="1457"/>
      <c r="S1261" s="1457"/>
      <c r="T1261" s="1457"/>
      <c r="U1261" s="1457"/>
      <c r="V1261" s="1457"/>
      <c r="W1261" s="1457"/>
      <c r="X1261" s="1457"/>
      <c r="Y1261" s="1457"/>
    </row>
    <row r="1262" spans="1:25" x14ac:dyDescent="0.2">
      <c r="A1262" s="2296"/>
      <c r="B1262" s="2296"/>
      <c r="C1262" s="2296"/>
      <c r="D1262" s="2296"/>
      <c r="E1262" s="1456"/>
      <c r="R1262" s="1457"/>
      <c r="S1262" s="1457"/>
      <c r="T1262" s="1457"/>
      <c r="U1262" s="1457"/>
      <c r="V1262" s="1457"/>
      <c r="W1262" s="1457"/>
      <c r="X1262" s="1457"/>
      <c r="Y1262" s="1457"/>
    </row>
    <row r="1263" spans="1:25" x14ac:dyDescent="0.2">
      <c r="A1263" s="2296"/>
      <c r="B1263" s="2296"/>
      <c r="C1263" s="2296"/>
      <c r="D1263" s="2296"/>
      <c r="E1263" s="1456"/>
      <c r="R1263" s="1457"/>
      <c r="S1263" s="1457"/>
      <c r="T1263" s="1457"/>
      <c r="U1263" s="1457"/>
      <c r="V1263" s="1457"/>
      <c r="W1263" s="1457"/>
      <c r="X1263" s="1457"/>
      <c r="Y1263" s="1457"/>
    </row>
    <row r="1264" spans="1:25" x14ac:dyDescent="0.2">
      <c r="A1264" s="2296"/>
      <c r="B1264" s="2296"/>
      <c r="C1264" s="2296"/>
      <c r="D1264" s="2296"/>
      <c r="E1264" s="1456"/>
      <c r="R1264" s="1457"/>
      <c r="S1264" s="1457"/>
      <c r="T1264" s="1457"/>
      <c r="U1264" s="1457"/>
      <c r="V1264" s="1457"/>
      <c r="W1264" s="1457"/>
      <c r="X1264" s="1457"/>
      <c r="Y1264" s="1457"/>
    </row>
    <row r="1265" spans="1:25" x14ac:dyDescent="0.2">
      <c r="A1265" s="2296"/>
      <c r="B1265" s="2296"/>
      <c r="C1265" s="2296"/>
      <c r="D1265" s="2296"/>
      <c r="E1265" s="1456"/>
      <c r="R1265" s="1457"/>
      <c r="S1265" s="1457"/>
      <c r="T1265" s="1457"/>
      <c r="U1265" s="1457"/>
      <c r="V1265" s="1457"/>
      <c r="W1265" s="1457"/>
      <c r="X1265" s="1457"/>
      <c r="Y1265" s="1457"/>
    </row>
    <row r="1266" spans="1:25" x14ac:dyDescent="0.2">
      <c r="A1266" s="2296"/>
      <c r="B1266" s="2296"/>
      <c r="C1266" s="2296"/>
      <c r="D1266" s="2296"/>
      <c r="E1266" s="1456"/>
      <c r="R1266" s="1457"/>
      <c r="S1266" s="1457"/>
      <c r="T1266" s="1457"/>
      <c r="U1266" s="1457"/>
      <c r="V1266" s="1457"/>
      <c r="W1266" s="1457"/>
      <c r="X1266" s="1457"/>
      <c r="Y1266" s="1457"/>
    </row>
    <row r="1267" spans="1:25" x14ac:dyDescent="0.2">
      <c r="A1267" s="2296"/>
      <c r="B1267" s="2296"/>
      <c r="C1267" s="2296"/>
      <c r="D1267" s="2296"/>
      <c r="E1267" s="1456"/>
      <c r="R1267" s="1457"/>
      <c r="S1267" s="1457"/>
      <c r="T1267" s="1457"/>
      <c r="U1267" s="1457"/>
      <c r="V1267" s="1457"/>
      <c r="W1267" s="1457"/>
      <c r="X1267" s="1457"/>
      <c r="Y1267" s="1457"/>
    </row>
    <row r="1268" spans="1:25" x14ac:dyDescent="0.2">
      <c r="A1268" s="2296"/>
      <c r="B1268" s="2296"/>
      <c r="C1268" s="2296"/>
      <c r="D1268" s="2296"/>
      <c r="E1268" s="1456"/>
      <c r="R1268" s="1457"/>
      <c r="S1268" s="1457"/>
      <c r="T1268" s="1457"/>
      <c r="U1268" s="1457"/>
      <c r="V1268" s="1457"/>
      <c r="W1268" s="1457"/>
      <c r="X1268" s="1457"/>
      <c r="Y1268" s="1457"/>
    </row>
    <row r="1269" spans="1:25" x14ac:dyDescent="0.2">
      <c r="A1269" s="2296"/>
      <c r="B1269" s="2296"/>
      <c r="C1269" s="2296"/>
      <c r="D1269" s="2296"/>
      <c r="E1269" s="1456"/>
      <c r="R1269" s="1457"/>
      <c r="S1269" s="1457"/>
      <c r="T1269" s="1457"/>
      <c r="U1269" s="1457"/>
      <c r="V1269" s="1457"/>
      <c r="W1269" s="1457"/>
      <c r="X1269" s="1457"/>
      <c r="Y1269" s="1457"/>
    </row>
    <row r="1270" spans="1:25" x14ac:dyDescent="0.2">
      <c r="A1270" s="2296"/>
      <c r="B1270" s="2296"/>
      <c r="C1270" s="2296"/>
      <c r="D1270" s="2296"/>
      <c r="E1270" s="1456"/>
      <c r="R1270" s="1457"/>
      <c r="S1270" s="1457"/>
      <c r="T1270" s="1457"/>
      <c r="U1270" s="1457"/>
      <c r="V1270" s="1457"/>
      <c r="W1270" s="1457"/>
      <c r="X1270" s="1457"/>
      <c r="Y1270" s="1457"/>
    </row>
    <row r="1271" spans="1:25" x14ac:dyDescent="0.2">
      <c r="A1271" s="2296"/>
      <c r="B1271" s="2296"/>
      <c r="C1271" s="2296"/>
      <c r="D1271" s="2296"/>
      <c r="E1271" s="1456"/>
      <c r="R1271" s="1457"/>
      <c r="S1271" s="1457"/>
      <c r="T1271" s="1457"/>
      <c r="U1271" s="1457"/>
      <c r="V1271" s="1457"/>
      <c r="W1271" s="1457"/>
      <c r="X1271" s="1457"/>
      <c r="Y1271" s="1457"/>
    </row>
    <row r="1272" spans="1:25" x14ac:dyDescent="0.2">
      <c r="A1272" s="2296"/>
      <c r="B1272" s="2296"/>
      <c r="C1272" s="2296"/>
      <c r="D1272" s="2296"/>
      <c r="E1272" s="1456"/>
      <c r="R1272" s="1457"/>
      <c r="S1272" s="1457"/>
      <c r="T1272" s="1457"/>
      <c r="U1272" s="1457"/>
      <c r="V1272" s="1457"/>
      <c r="W1272" s="1457"/>
      <c r="X1272" s="1457"/>
      <c r="Y1272" s="1457"/>
    </row>
    <row r="1273" spans="1:25" x14ac:dyDescent="0.2">
      <c r="A1273" s="2296"/>
      <c r="B1273" s="2296"/>
      <c r="C1273" s="2296"/>
      <c r="D1273" s="2296"/>
      <c r="E1273" s="1456"/>
      <c r="R1273" s="1457"/>
      <c r="S1273" s="1457"/>
      <c r="T1273" s="1457"/>
      <c r="U1273" s="1457"/>
      <c r="V1273" s="1457"/>
      <c r="W1273" s="1457"/>
      <c r="X1273" s="1457"/>
      <c r="Y1273" s="1457"/>
    </row>
    <row r="1274" spans="1:25" x14ac:dyDescent="0.2">
      <c r="A1274" s="2296"/>
      <c r="B1274" s="2296"/>
      <c r="C1274" s="2296"/>
      <c r="D1274" s="2296"/>
      <c r="E1274" s="1456"/>
      <c r="R1274" s="1457"/>
      <c r="S1274" s="1457"/>
      <c r="T1274" s="1457"/>
      <c r="U1274" s="1457"/>
      <c r="V1274" s="1457"/>
      <c r="W1274" s="1457"/>
      <c r="X1274" s="1457"/>
      <c r="Y1274" s="1457"/>
    </row>
    <row r="1275" spans="1:25" x14ac:dyDescent="0.2">
      <c r="A1275" s="2296"/>
      <c r="B1275" s="2296"/>
      <c r="C1275" s="2296"/>
      <c r="D1275" s="2296"/>
      <c r="E1275" s="1456"/>
      <c r="R1275" s="1457"/>
      <c r="S1275" s="1457"/>
      <c r="T1275" s="1457"/>
      <c r="U1275" s="1457"/>
      <c r="V1275" s="1457"/>
      <c r="W1275" s="1457"/>
      <c r="X1275" s="1457"/>
      <c r="Y1275" s="1457"/>
    </row>
    <row r="1276" spans="1:25" x14ac:dyDescent="0.2">
      <c r="A1276" s="2296"/>
      <c r="B1276" s="2296"/>
      <c r="C1276" s="2296"/>
      <c r="D1276" s="2296"/>
      <c r="E1276" s="1456"/>
      <c r="R1276" s="1457"/>
      <c r="S1276" s="1457"/>
      <c r="T1276" s="1457"/>
      <c r="U1276" s="1457"/>
      <c r="V1276" s="1457"/>
      <c r="W1276" s="1457"/>
      <c r="X1276" s="1457"/>
      <c r="Y1276" s="1457"/>
    </row>
    <row r="1277" spans="1:25" x14ac:dyDescent="0.2">
      <c r="A1277" s="2296"/>
      <c r="B1277" s="2296"/>
      <c r="C1277" s="2296"/>
      <c r="D1277" s="2296"/>
      <c r="E1277" s="1456"/>
      <c r="R1277" s="1457"/>
      <c r="S1277" s="1457"/>
      <c r="T1277" s="1457"/>
      <c r="U1277" s="1457"/>
      <c r="V1277" s="1457"/>
      <c r="W1277" s="1457"/>
      <c r="X1277" s="1457"/>
      <c r="Y1277" s="1457"/>
    </row>
    <row r="1278" spans="1:25" x14ac:dyDescent="0.2">
      <c r="A1278" s="2296"/>
      <c r="B1278" s="2296"/>
      <c r="C1278" s="2296"/>
      <c r="D1278" s="2296"/>
      <c r="E1278" s="1456"/>
      <c r="R1278" s="1457"/>
      <c r="S1278" s="1457"/>
      <c r="T1278" s="1457"/>
      <c r="U1278" s="1457"/>
      <c r="V1278" s="1457"/>
      <c r="W1278" s="1457"/>
      <c r="X1278" s="1457"/>
      <c r="Y1278" s="1457"/>
    </row>
    <row r="1279" spans="1:25" x14ac:dyDescent="0.2">
      <c r="A1279" s="2296"/>
      <c r="B1279" s="2296"/>
      <c r="C1279" s="2296"/>
      <c r="D1279" s="2296"/>
      <c r="E1279" s="1456"/>
      <c r="R1279" s="1457"/>
      <c r="S1279" s="1457"/>
      <c r="T1279" s="1457"/>
      <c r="U1279" s="1457"/>
      <c r="V1279" s="1457"/>
      <c r="W1279" s="1457"/>
      <c r="X1279" s="1457"/>
      <c r="Y1279" s="1457"/>
    </row>
    <row r="1280" spans="1:25" x14ac:dyDescent="0.2">
      <c r="A1280" s="2296"/>
      <c r="B1280" s="2296"/>
      <c r="C1280" s="2296"/>
      <c r="D1280" s="2296"/>
      <c r="E1280" s="1456"/>
      <c r="R1280" s="1457"/>
      <c r="S1280" s="1457"/>
      <c r="T1280" s="1457"/>
      <c r="U1280" s="1457"/>
      <c r="V1280" s="1457"/>
      <c r="W1280" s="1457"/>
      <c r="X1280" s="1457"/>
      <c r="Y1280" s="1457"/>
    </row>
    <row r="1281" spans="1:25" x14ac:dyDescent="0.2">
      <c r="A1281" s="2296"/>
      <c r="B1281" s="2296"/>
      <c r="C1281" s="2296"/>
      <c r="D1281" s="2296"/>
      <c r="E1281" s="1456"/>
      <c r="R1281" s="1457"/>
      <c r="S1281" s="1457"/>
      <c r="T1281" s="1457"/>
      <c r="U1281" s="1457"/>
      <c r="V1281" s="1457"/>
      <c r="W1281" s="1457"/>
      <c r="X1281" s="1457"/>
      <c r="Y1281" s="1457"/>
    </row>
    <row r="1282" spans="1:25" x14ac:dyDescent="0.2">
      <c r="A1282" s="2296"/>
      <c r="B1282" s="2296"/>
      <c r="C1282" s="2296"/>
      <c r="D1282" s="2296"/>
      <c r="E1282" s="1456"/>
      <c r="R1282" s="1457"/>
      <c r="S1282" s="1457"/>
      <c r="T1282" s="1457"/>
      <c r="U1282" s="1457"/>
      <c r="V1282" s="1457"/>
      <c r="W1282" s="1457"/>
      <c r="X1282" s="1457"/>
      <c r="Y1282" s="1457"/>
    </row>
    <row r="1283" spans="1:25" x14ac:dyDescent="0.2">
      <c r="A1283" s="2296"/>
      <c r="B1283" s="2296"/>
      <c r="C1283" s="2296"/>
      <c r="D1283" s="2296"/>
      <c r="E1283" s="1456"/>
      <c r="R1283" s="1457"/>
      <c r="S1283" s="1457"/>
      <c r="T1283" s="1457"/>
      <c r="U1283" s="1457"/>
      <c r="V1283" s="1457"/>
      <c r="W1283" s="1457"/>
      <c r="X1283" s="1457"/>
      <c r="Y1283" s="1457"/>
    </row>
    <row r="1284" spans="1:25" x14ac:dyDescent="0.2">
      <c r="A1284" s="2296"/>
      <c r="B1284" s="2296"/>
      <c r="C1284" s="2296"/>
      <c r="D1284" s="2296"/>
      <c r="E1284" s="1456"/>
      <c r="R1284" s="1457"/>
      <c r="S1284" s="1457"/>
      <c r="T1284" s="1457"/>
      <c r="U1284" s="1457"/>
      <c r="V1284" s="1457"/>
      <c r="W1284" s="1457"/>
      <c r="X1284" s="1457"/>
      <c r="Y1284" s="1457"/>
    </row>
    <row r="1285" spans="1:25" x14ac:dyDescent="0.2">
      <c r="A1285" s="2296"/>
      <c r="B1285" s="2296"/>
      <c r="C1285" s="2296"/>
      <c r="D1285" s="2296"/>
      <c r="E1285" s="1456"/>
      <c r="R1285" s="1457"/>
      <c r="S1285" s="1457"/>
      <c r="T1285" s="1457"/>
      <c r="U1285" s="1457"/>
      <c r="V1285" s="1457"/>
      <c r="W1285" s="1457"/>
      <c r="X1285" s="1457"/>
      <c r="Y1285" s="1457"/>
    </row>
    <row r="1286" spans="1:25" x14ac:dyDescent="0.2">
      <c r="A1286" s="2296"/>
      <c r="B1286" s="2296"/>
      <c r="C1286" s="2296"/>
      <c r="D1286" s="2296"/>
      <c r="E1286" s="1456"/>
      <c r="R1286" s="1457"/>
      <c r="S1286" s="1457"/>
      <c r="T1286" s="1457"/>
      <c r="U1286" s="1457"/>
      <c r="V1286" s="1457"/>
      <c r="W1286" s="1457"/>
      <c r="X1286" s="1457"/>
      <c r="Y1286" s="1457"/>
    </row>
    <row r="1287" spans="1:25" x14ac:dyDescent="0.2">
      <c r="A1287" s="2296"/>
      <c r="B1287" s="2296"/>
      <c r="C1287" s="2296"/>
      <c r="D1287" s="2296"/>
      <c r="E1287" s="1456"/>
      <c r="R1287" s="1457"/>
      <c r="S1287" s="1457"/>
      <c r="T1287" s="1457"/>
      <c r="U1287" s="1457"/>
      <c r="V1287" s="1457"/>
      <c r="W1287" s="1457"/>
      <c r="X1287" s="1457"/>
      <c r="Y1287" s="1457"/>
    </row>
    <row r="1288" spans="1:25" x14ac:dyDescent="0.2">
      <c r="A1288" s="2296"/>
      <c r="B1288" s="2296"/>
      <c r="C1288" s="2296"/>
      <c r="D1288" s="2296"/>
      <c r="E1288" s="1456"/>
      <c r="R1288" s="1457"/>
      <c r="S1288" s="1457"/>
      <c r="T1288" s="1457"/>
      <c r="U1288" s="1457"/>
      <c r="V1288" s="1457"/>
      <c r="W1288" s="1457"/>
      <c r="X1288" s="1457"/>
      <c r="Y1288" s="1457"/>
    </row>
    <row r="1289" spans="1:25" x14ac:dyDescent="0.2">
      <c r="A1289" s="2296"/>
      <c r="B1289" s="2296"/>
      <c r="C1289" s="2296"/>
      <c r="D1289" s="2296"/>
      <c r="E1289" s="1456"/>
      <c r="R1289" s="1457"/>
      <c r="S1289" s="1457"/>
      <c r="T1289" s="1457"/>
      <c r="U1289" s="1457"/>
      <c r="V1289" s="1457"/>
      <c r="W1289" s="1457"/>
      <c r="X1289" s="1457"/>
      <c r="Y1289" s="1457"/>
    </row>
    <row r="1290" spans="1:25" x14ac:dyDescent="0.2">
      <c r="A1290" s="2296"/>
      <c r="B1290" s="2296"/>
      <c r="C1290" s="2296"/>
      <c r="D1290" s="2296"/>
      <c r="E1290" s="1456"/>
      <c r="R1290" s="1457"/>
      <c r="S1290" s="1457"/>
      <c r="T1290" s="1457"/>
      <c r="U1290" s="1457"/>
      <c r="V1290" s="1457"/>
      <c r="W1290" s="1457"/>
      <c r="X1290" s="1457"/>
      <c r="Y1290" s="1457"/>
    </row>
    <row r="1291" spans="1:25" x14ac:dyDescent="0.2">
      <c r="A1291" s="2296"/>
      <c r="B1291" s="2296"/>
      <c r="C1291" s="2296"/>
      <c r="D1291" s="2296"/>
      <c r="E1291" s="1456"/>
      <c r="R1291" s="1457"/>
      <c r="S1291" s="1457"/>
      <c r="T1291" s="1457"/>
      <c r="U1291" s="1457"/>
      <c r="V1291" s="1457"/>
      <c r="W1291" s="1457"/>
      <c r="X1291" s="1457"/>
      <c r="Y1291" s="1457"/>
    </row>
    <row r="1292" spans="1:25" x14ac:dyDescent="0.2">
      <c r="A1292" s="2296"/>
      <c r="B1292" s="2296"/>
      <c r="C1292" s="2296"/>
      <c r="D1292" s="2296"/>
      <c r="E1292" s="1456"/>
      <c r="R1292" s="1457"/>
      <c r="S1292" s="1457"/>
      <c r="T1292" s="1457"/>
      <c r="U1292" s="1457"/>
      <c r="V1292" s="1457"/>
      <c r="W1292" s="1457"/>
      <c r="X1292" s="1457"/>
      <c r="Y1292" s="1457"/>
    </row>
    <row r="1293" spans="1:25" x14ac:dyDescent="0.2">
      <c r="A1293" s="2296"/>
      <c r="B1293" s="2296"/>
      <c r="C1293" s="2296"/>
      <c r="D1293" s="2296"/>
      <c r="E1293" s="1456"/>
      <c r="R1293" s="1457"/>
      <c r="S1293" s="1457"/>
      <c r="T1293" s="1457"/>
      <c r="U1293" s="1457"/>
      <c r="V1293" s="1457"/>
      <c r="W1293" s="1457"/>
      <c r="X1293" s="1457"/>
      <c r="Y1293" s="1457"/>
    </row>
    <row r="1294" spans="1:25" x14ac:dyDescent="0.2">
      <c r="A1294" s="2296"/>
      <c r="B1294" s="2296"/>
      <c r="C1294" s="2296"/>
      <c r="D1294" s="2296"/>
      <c r="E1294" s="1456"/>
      <c r="R1294" s="1457"/>
      <c r="S1294" s="1457"/>
      <c r="T1294" s="1457"/>
      <c r="U1294" s="1457"/>
      <c r="V1294" s="1457"/>
      <c r="W1294" s="1457"/>
      <c r="X1294" s="1457"/>
      <c r="Y1294" s="1457"/>
    </row>
    <row r="1295" spans="1:25" x14ac:dyDescent="0.2">
      <c r="A1295" s="2296"/>
      <c r="B1295" s="2296"/>
      <c r="C1295" s="2296"/>
      <c r="D1295" s="2296"/>
      <c r="E1295" s="1456"/>
      <c r="R1295" s="1457"/>
      <c r="S1295" s="1457"/>
      <c r="T1295" s="1457"/>
      <c r="U1295" s="1457"/>
      <c r="V1295" s="1457"/>
      <c r="W1295" s="1457"/>
      <c r="X1295" s="1457"/>
      <c r="Y1295" s="1457"/>
    </row>
    <row r="1296" spans="1:25" x14ac:dyDescent="0.2">
      <c r="A1296" s="2296"/>
      <c r="B1296" s="2296"/>
      <c r="C1296" s="2296"/>
      <c r="D1296" s="2296"/>
      <c r="E1296" s="1456"/>
      <c r="R1296" s="1457"/>
      <c r="S1296" s="1457"/>
      <c r="T1296" s="1457"/>
      <c r="U1296" s="1457"/>
      <c r="V1296" s="1457"/>
      <c r="W1296" s="1457"/>
      <c r="X1296" s="1457"/>
      <c r="Y1296" s="1457"/>
    </row>
    <row r="1297" spans="1:25" x14ac:dyDescent="0.2">
      <c r="A1297" s="2296"/>
      <c r="B1297" s="2296"/>
      <c r="C1297" s="2296"/>
      <c r="D1297" s="2296"/>
      <c r="E1297" s="1456"/>
      <c r="R1297" s="1457"/>
      <c r="S1297" s="1457"/>
      <c r="T1297" s="1457"/>
      <c r="U1297" s="1457"/>
      <c r="V1297" s="1457"/>
      <c r="W1297" s="1457"/>
      <c r="X1297" s="1457"/>
      <c r="Y1297" s="1457"/>
    </row>
    <row r="1298" spans="1:25" x14ac:dyDescent="0.2">
      <c r="A1298" s="2296"/>
      <c r="B1298" s="2296"/>
      <c r="C1298" s="2296"/>
      <c r="D1298" s="2296"/>
      <c r="E1298" s="1456"/>
      <c r="R1298" s="1457"/>
      <c r="S1298" s="1457"/>
      <c r="T1298" s="1457"/>
      <c r="U1298" s="1457"/>
      <c r="V1298" s="1457"/>
      <c r="W1298" s="1457"/>
      <c r="X1298" s="1457"/>
      <c r="Y1298" s="1457"/>
    </row>
    <row r="1299" spans="1:25" x14ac:dyDescent="0.2">
      <c r="A1299" s="2296"/>
      <c r="B1299" s="2296"/>
      <c r="C1299" s="2296"/>
      <c r="D1299" s="2296"/>
      <c r="E1299" s="1456"/>
      <c r="R1299" s="1457"/>
      <c r="S1299" s="1457"/>
      <c r="T1299" s="1457"/>
      <c r="U1299" s="1457"/>
      <c r="V1299" s="1457"/>
      <c r="W1299" s="1457"/>
      <c r="X1299" s="1457"/>
      <c r="Y1299" s="1457"/>
    </row>
    <row r="1300" spans="1:25" x14ac:dyDescent="0.2">
      <c r="A1300" s="2296"/>
      <c r="B1300" s="2296"/>
      <c r="C1300" s="2296"/>
      <c r="D1300" s="2296"/>
      <c r="E1300" s="1456"/>
      <c r="R1300" s="1457"/>
      <c r="S1300" s="1457"/>
      <c r="T1300" s="1457"/>
      <c r="U1300" s="1457"/>
      <c r="V1300" s="1457"/>
      <c r="W1300" s="1457"/>
      <c r="X1300" s="1457"/>
      <c r="Y1300" s="1457"/>
    </row>
    <row r="1301" spans="1:25" x14ac:dyDescent="0.2">
      <c r="A1301" s="2296"/>
      <c r="B1301" s="2296"/>
      <c r="C1301" s="2296"/>
      <c r="D1301" s="2296"/>
      <c r="E1301" s="1456"/>
      <c r="R1301" s="1457"/>
      <c r="S1301" s="1457"/>
      <c r="T1301" s="1457"/>
      <c r="U1301" s="1457"/>
      <c r="V1301" s="1457"/>
      <c r="W1301" s="1457"/>
      <c r="X1301" s="1457"/>
      <c r="Y1301" s="1457"/>
    </row>
    <row r="1302" spans="1:25" x14ac:dyDescent="0.2">
      <c r="A1302" s="2296"/>
      <c r="B1302" s="2296"/>
      <c r="C1302" s="2296"/>
      <c r="D1302" s="2296"/>
      <c r="E1302" s="1456"/>
      <c r="R1302" s="1457"/>
      <c r="S1302" s="1457"/>
      <c r="T1302" s="1457"/>
      <c r="U1302" s="1457"/>
      <c r="V1302" s="1457"/>
      <c r="W1302" s="1457"/>
      <c r="X1302" s="1457"/>
      <c r="Y1302" s="1457"/>
    </row>
    <row r="1303" spans="1:25" x14ac:dyDescent="0.2">
      <c r="A1303" s="2296"/>
      <c r="B1303" s="2296"/>
      <c r="C1303" s="2296"/>
      <c r="D1303" s="2296"/>
      <c r="E1303" s="1456"/>
      <c r="R1303" s="1457"/>
      <c r="S1303" s="1457"/>
      <c r="T1303" s="1457"/>
      <c r="U1303" s="1457"/>
      <c r="V1303" s="1457"/>
      <c r="W1303" s="1457"/>
      <c r="X1303" s="1457"/>
      <c r="Y1303" s="1457"/>
    </row>
    <row r="1304" spans="1:25" x14ac:dyDescent="0.2">
      <c r="A1304" s="2296"/>
      <c r="B1304" s="2296"/>
      <c r="C1304" s="2296"/>
      <c r="D1304" s="2296"/>
      <c r="E1304" s="1456"/>
      <c r="R1304" s="1457"/>
      <c r="S1304" s="1457"/>
      <c r="T1304" s="1457"/>
      <c r="U1304" s="1457"/>
      <c r="V1304" s="1457"/>
      <c r="W1304" s="1457"/>
      <c r="X1304" s="1457"/>
      <c r="Y1304" s="1457"/>
    </row>
    <row r="1305" spans="1:25" x14ac:dyDescent="0.2">
      <c r="A1305" s="2296"/>
      <c r="B1305" s="2296"/>
      <c r="C1305" s="2296"/>
      <c r="D1305" s="2296"/>
      <c r="E1305" s="1456"/>
      <c r="R1305" s="1457"/>
      <c r="S1305" s="1457"/>
      <c r="T1305" s="1457"/>
      <c r="U1305" s="1457"/>
      <c r="V1305" s="1457"/>
      <c r="W1305" s="1457"/>
      <c r="X1305" s="1457"/>
      <c r="Y1305" s="1457"/>
    </row>
    <row r="1306" spans="1:25" x14ac:dyDescent="0.2">
      <c r="A1306" s="2296"/>
      <c r="B1306" s="2296"/>
      <c r="C1306" s="2296"/>
      <c r="D1306" s="2296"/>
      <c r="E1306" s="1456"/>
      <c r="R1306" s="1457"/>
      <c r="S1306" s="1457"/>
      <c r="T1306" s="1457"/>
      <c r="U1306" s="1457"/>
      <c r="V1306" s="1457"/>
      <c r="W1306" s="1457"/>
      <c r="X1306" s="1457"/>
      <c r="Y1306" s="1457"/>
    </row>
    <row r="1307" spans="1:25" x14ac:dyDescent="0.2">
      <c r="A1307" s="2296"/>
      <c r="B1307" s="2296"/>
      <c r="C1307" s="2296"/>
      <c r="D1307" s="2296"/>
      <c r="E1307" s="1456"/>
      <c r="R1307" s="1457"/>
      <c r="S1307" s="1457"/>
      <c r="T1307" s="1457"/>
      <c r="U1307" s="1457"/>
      <c r="V1307" s="1457"/>
      <c r="W1307" s="1457"/>
      <c r="X1307" s="1457"/>
      <c r="Y1307" s="1457"/>
    </row>
    <row r="1308" spans="1:25" x14ac:dyDescent="0.2">
      <c r="A1308" s="2296"/>
      <c r="B1308" s="2296"/>
      <c r="C1308" s="2296"/>
      <c r="D1308" s="2296"/>
      <c r="E1308" s="1456"/>
      <c r="R1308" s="1457"/>
      <c r="S1308" s="1457"/>
      <c r="T1308" s="1457"/>
      <c r="U1308" s="1457"/>
      <c r="V1308" s="1457"/>
      <c r="W1308" s="1457"/>
      <c r="X1308" s="1457"/>
      <c r="Y1308" s="1457"/>
    </row>
    <row r="1309" spans="1:25" x14ac:dyDescent="0.2">
      <c r="A1309" s="2296"/>
      <c r="B1309" s="2296"/>
      <c r="C1309" s="2296"/>
      <c r="D1309" s="2296"/>
      <c r="E1309" s="1456"/>
      <c r="R1309" s="1457"/>
      <c r="S1309" s="1457"/>
      <c r="T1309" s="1457"/>
      <c r="U1309" s="1457"/>
      <c r="V1309" s="1457"/>
      <c r="W1309" s="1457"/>
      <c r="X1309" s="1457"/>
      <c r="Y1309" s="1457"/>
    </row>
    <row r="1310" spans="1:25" x14ac:dyDescent="0.2">
      <c r="A1310" s="2296"/>
      <c r="B1310" s="2296"/>
      <c r="C1310" s="2296"/>
      <c r="D1310" s="2296"/>
      <c r="E1310" s="1456"/>
      <c r="R1310" s="1457"/>
      <c r="S1310" s="1457"/>
      <c r="T1310" s="1457"/>
      <c r="U1310" s="1457"/>
      <c r="V1310" s="1457"/>
      <c r="W1310" s="1457"/>
      <c r="X1310" s="1457"/>
      <c r="Y1310" s="1457"/>
    </row>
    <row r="1311" spans="1:25" x14ac:dyDescent="0.2">
      <c r="A1311" s="2296"/>
      <c r="B1311" s="2296"/>
      <c r="C1311" s="2296"/>
      <c r="D1311" s="2296"/>
      <c r="E1311" s="1456"/>
      <c r="R1311" s="1457"/>
      <c r="S1311" s="1457"/>
      <c r="T1311" s="1457"/>
      <c r="U1311" s="1457"/>
      <c r="V1311" s="1457"/>
      <c r="W1311" s="1457"/>
      <c r="X1311" s="1457"/>
      <c r="Y1311" s="1457"/>
    </row>
    <row r="1312" spans="1:25" x14ac:dyDescent="0.2">
      <c r="A1312" s="2296"/>
      <c r="B1312" s="2296"/>
      <c r="C1312" s="2296"/>
      <c r="D1312" s="2296"/>
      <c r="E1312" s="1456"/>
      <c r="R1312" s="1457"/>
      <c r="S1312" s="1457"/>
      <c r="T1312" s="1457"/>
      <c r="U1312" s="1457"/>
      <c r="V1312" s="1457"/>
      <c r="W1312" s="1457"/>
      <c r="X1312" s="1457"/>
      <c r="Y1312" s="1457"/>
    </row>
    <row r="1313" spans="1:25" x14ac:dyDescent="0.2">
      <c r="A1313" s="2296"/>
      <c r="B1313" s="2296"/>
      <c r="C1313" s="2296"/>
      <c r="D1313" s="2296"/>
      <c r="E1313" s="1456"/>
      <c r="R1313" s="1457"/>
      <c r="S1313" s="1457"/>
      <c r="T1313" s="1457"/>
      <c r="U1313" s="1457"/>
      <c r="V1313" s="1457"/>
      <c r="W1313" s="1457"/>
      <c r="X1313" s="1457"/>
      <c r="Y1313" s="1457"/>
    </row>
    <row r="1314" spans="1:25" x14ac:dyDescent="0.2">
      <c r="A1314" s="2296"/>
      <c r="B1314" s="2296"/>
      <c r="C1314" s="2296"/>
      <c r="D1314" s="2296"/>
      <c r="E1314" s="1456"/>
      <c r="R1314" s="1457"/>
      <c r="S1314" s="1457"/>
      <c r="T1314" s="1457"/>
      <c r="U1314" s="1457"/>
      <c r="V1314" s="1457"/>
      <c r="W1314" s="1457"/>
      <c r="X1314" s="1457"/>
      <c r="Y1314" s="1457"/>
    </row>
    <row r="1315" spans="1:25" x14ac:dyDescent="0.2">
      <c r="A1315" s="2296"/>
      <c r="B1315" s="2296"/>
      <c r="C1315" s="2296"/>
      <c r="D1315" s="2296"/>
      <c r="E1315" s="1456"/>
      <c r="R1315" s="1457"/>
      <c r="S1315" s="1457"/>
      <c r="T1315" s="1457"/>
      <c r="U1315" s="1457"/>
      <c r="V1315" s="1457"/>
      <c r="W1315" s="1457"/>
      <c r="X1315" s="1457"/>
      <c r="Y1315" s="1457"/>
    </row>
    <row r="1316" spans="1:25" x14ac:dyDescent="0.2">
      <c r="A1316" s="2296"/>
      <c r="B1316" s="2296"/>
      <c r="C1316" s="2296"/>
      <c r="D1316" s="2296"/>
      <c r="E1316" s="1456"/>
      <c r="R1316" s="1457"/>
      <c r="S1316" s="1457"/>
      <c r="T1316" s="1457"/>
      <c r="U1316" s="1457"/>
      <c r="V1316" s="1457"/>
      <c r="W1316" s="1457"/>
      <c r="X1316" s="1457"/>
      <c r="Y1316" s="1457"/>
    </row>
    <row r="1317" spans="1:25" x14ac:dyDescent="0.2">
      <c r="A1317" s="2296"/>
      <c r="B1317" s="2296"/>
      <c r="C1317" s="2296"/>
      <c r="D1317" s="2296"/>
      <c r="E1317" s="1456"/>
      <c r="R1317" s="1457"/>
      <c r="S1317" s="1457"/>
      <c r="T1317" s="1457"/>
      <c r="U1317" s="1457"/>
      <c r="V1317" s="1457"/>
      <c r="W1317" s="1457"/>
      <c r="X1317" s="1457"/>
      <c r="Y1317" s="1457"/>
    </row>
    <row r="1318" spans="1:25" x14ac:dyDescent="0.2">
      <c r="A1318" s="2296"/>
      <c r="B1318" s="2296"/>
      <c r="C1318" s="2296"/>
      <c r="D1318" s="2296"/>
      <c r="E1318" s="1456"/>
      <c r="R1318" s="1457"/>
      <c r="S1318" s="1457"/>
      <c r="T1318" s="1457"/>
      <c r="U1318" s="1457"/>
      <c r="V1318" s="1457"/>
      <c r="W1318" s="1457"/>
      <c r="X1318" s="1457"/>
      <c r="Y1318" s="1457"/>
    </row>
    <row r="1319" spans="1:25" x14ac:dyDescent="0.2">
      <c r="A1319" s="2296"/>
      <c r="B1319" s="2296"/>
      <c r="C1319" s="2296"/>
      <c r="D1319" s="2296"/>
      <c r="E1319" s="1456"/>
      <c r="R1319" s="1457"/>
      <c r="S1319" s="1457"/>
      <c r="T1319" s="1457"/>
      <c r="U1319" s="1457"/>
      <c r="V1319" s="1457"/>
      <c r="W1319" s="1457"/>
      <c r="X1319" s="1457"/>
      <c r="Y1319" s="1457"/>
    </row>
    <row r="1320" spans="1:25" x14ac:dyDescent="0.2">
      <c r="A1320" s="2296"/>
      <c r="B1320" s="2296"/>
      <c r="C1320" s="2296"/>
      <c r="D1320" s="2296"/>
      <c r="E1320" s="1456"/>
      <c r="R1320" s="1457"/>
      <c r="S1320" s="1457"/>
      <c r="T1320" s="1457"/>
      <c r="U1320" s="1457"/>
      <c r="V1320" s="1457"/>
      <c r="W1320" s="1457"/>
      <c r="X1320" s="1457"/>
      <c r="Y1320" s="1457"/>
    </row>
    <row r="1321" spans="1:25" x14ac:dyDescent="0.2">
      <c r="A1321" s="2296"/>
      <c r="B1321" s="2296"/>
      <c r="C1321" s="2296"/>
      <c r="D1321" s="2296"/>
      <c r="E1321" s="1456"/>
      <c r="R1321" s="1457"/>
      <c r="S1321" s="1457"/>
      <c r="T1321" s="1457"/>
      <c r="U1321" s="1457"/>
      <c r="V1321" s="1457"/>
      <c r="W1321" s="1457"/>
      <c r="X1321" s="1457"/>
      <c r="Y1321" s="1457"/>
    </row>
    <row r="1322" spans="1:25" x14ac:dyDescent="0.2">
      <c r="A1322" s="2296"/>
      <c r="B1322" s="2296"/>
      <c r="C1322" s="2296"/>
      <c r="D1322" s="2296"/>
      <c r="E1322" s="1456"/>
      <c r="R1322" s="1457"/>
      <c r="S1322" s="1457"/>
      <c r="T1322" s="1457"/>
      <c r="U1322" s="1457"/>
      <c r="V1322" s="1457"/>
      <c r="W1322" s="1457"/>
      <c r="X1322" s="1457"/>
      <c r="Y1322" s="1457"/>
    </row>
    <row r="1323" spans="1:25" x14ac:dyDescent="0.2">
      <c r="A1323" s="2296"/>
      <c r="B1323" s="2296"/>
      <c r="C1323" s="2296"/>
      <c r="D1323" s="2296"/>
      <c r="E1323" s="1456"/>
      <c r="R1323" s="1457"/>
      <c r="S1323" s="1457"/>
      <c r="T1323" s="1457"/>
      <c r="U1323" s="1457"/>
      <c r="V1323" s="1457"/>
      <c r="W1323" s="1457"/>
      <c r="X1323" s="1457"/>
      <c r="Y1323" s="1457"/>
    </row>
    <row r="1324" spans="1:25" x14ac:dyDescent="0.2">
      <c r="A1324" s="2296"/>
      <c r="B1324" s="2296"/>
      <c r="C1324" s="2296"/>
      <c r="D1324" s="2296"/>
      <c r="E1324" s="1456"/>
      <c r="R1324" s="1457"/>
      <c r="S1324" s="1457"/>
      <c r="T1324" s="1457"/>
      <c r="U1324" s="1457"/>
      <c r="V1324" s="1457"/>
      <c r="W1324" s="1457"/>
      <c r="X1324" s="1457"/>
      <c r="Y1324" s="1457"/>
    </row>
    <row r="1325" spans="1:25" x14ac:dyDescent="0.2">
      <c r="A1325" s="2296"/>
      <c r="B1325" s="2296"/>
      <c r="C1325" s="2296"/>
      <c r="D1325" s="2296"/>
      <c r="E1325" s="1456"/>
      <c r="R1325" s="1457"/>
      <c r="S1325" s="1457"/>
      <c r="T1325" s="1457"/>
      <c r="U1325" s="1457"/>
      <c r="V1325" s="1457"/>
      <c r="W1325" s="1457"/>
      <c r="X1325" s="1457"/>
      <c r="Y1325" s="1457"/>
    </row>
    <row r="1326" spans="1:25" x14ac:dyDescent="0.2">
      <c r="A1326" s="2296"/>
      <c r="B1326" s="2296"/>
      <c r="C1326" s="2296"/>
      <c r="D1326" s="2296"/>
      <c r="E1326" s="1456"/>
      <c r="R1326" s="1457"/>
      <c r="S1326" s="1457"/>
      <c r="T1326" s="1457"/>
      <c r="U1326" s="1457"/>
      <c r="V1326" s="1457"/>
      <c r="W1326" s="1457"/>
      <c r="X1326" s="1457"/>
      <c r="Y1326" s="1457"/>
    </row>
    <row r="1327" spans="1:25" x14ac:dyDescent="0.2">
      <c r="A1327" s="2296"/>
      <c r="B1327" s="2296"/>
      <c r="C1327" s="2296"/>
      <c r="D1327" s="2296"/>
      <c r="E1327" s="1456"/>
      <c r="R1327" s="1457"/>
      <c r="S1327" s="1457"/>
      <c r="T1327" s="1457"/>
      <c r="U1327" s="1457"/>
      <c r="V1327" s="1457"/>
      <c r="W1327" s="1457"/>
      <c r="X1327" s="1457"/>
      <c r="Y1327" s="1457"/>
    </row>
    <row r="1328" spans="1:25" x14ac:dyDescent="0.2">
      <c r="A1328" s="2296"/>
      <c r="B1328" s="2296"/>
      <c r="C1328" s="2296"/>
      <c r="D1328" s="2296"/>
      <c r="E1328" s="1456"/>
      <c r="R1328" s="1457"/>
      <c r="S1328" s="1457"/>
      <c r="T1328" s="1457"/>
      <c r="U1328" s="1457"/>
      <c r="V1328" s="1457"/>
      <c r="W1328" s="1457"/>
      <c r="X1328" s="1457"/>
      <c r="Y1328" s="1457"/>
    </row>
    <row r="1329" spans="1:25" x14ac:dyDescent="0.2">
      <c r="A1329" s="2296"/>
      <c r="B1329" s="2296"/>
      <c r="C1329" s="2296"/>
      <c r="D1329" s="2296"/>
      <c r="E1329" s="1456"/>
      <c r="R1329" s="1457"/>
      <c r="S1329" s="1457"/>
      <c r="T1329" s="1457"/>
      <c r="U1329" s="1457"/>
      <c r="V1329" s="1457"/>
      <c r="W1329" s="1457"/>
      <c r="X1329" s="1457"/>
      <c r="Y1329" s="1457"/>
    </row>
    <row r="1330" spans="1:25" x14ac:dyDescent="0.2">
      <c r="A1330" s="2296"/>
      <c r="B1330" s="2296"/>
      <c r="C1330" s="2296"/>
      <c r="D1330" s="2296"/>
      <c r="E1330" s="1456"/>
      <c r="R1330" s="1457"/>
      <c r="S1330" s="1457"/>
      <c r="T1330" s="1457"/>
      <c r="U1330" s="1457"/>
      <c r="V1330" s="1457"/>
      <c r="W1330" s="1457"/>
      <c r="X1330" s="1457"/>
      <c r="Y1330" s="1457"/>
    </row>
    <row r="1331" spans="1:25" x14ac:dyDescent="0.2">
      <c r="A1331" s="2296"/>
      <c r="B1331" s="2296"/>
      <c r="C1331" s="2296"/>
      <c r="D1331" s="2296"/>
      <c r="E1331" s="1456"/>
      <c r="R1331" s="1457"/>
      <c r="S1331" s="1457"/>
      <c r="T1331" s="1457"/>
      <c r="U1331" s="1457"/>
      <c r="V1331" s="1457"/>
      <c r="W1331" s="1457"/>
      <c r="X1331" s="1457"/>
      <c r="Y1331" s="1457"/>
    </row>
    <row r="1332" spans="1:25" x14ac:dyDescent="0.2">
      <c r="A1332" s="2296"/>
      <c r="B1332" s="2296"/>
      <c r="C1332" s="2296"/>
      <c r="D1332" s="2296"/>
      <c r="E1332" s="1456"/>
      <c r="R1332" s="1457"/>
      <c r="S1332" s="1457"/>
      <c r="T1332" s="1457"/>
      <c r="U1332" s="1457"/>
      <c r="V1332" s="1457"/>
      <c r="W1332" s="1457"/>
      <c r="X1332" s="1457"/>
      <c r="Y1332" s="1457"/>
    </row>
    <row r="1333" spans="1:25" x14ac:dyDescent="0.2">
      <c r="A1333" s="2296"/>
      <c r="B1333" s="2296"/>
      <c r="C1333" s="2296"/>
      <c r="D1333" s="2296"/>
      <c r="E1333" s="1456"/>
      <c r="R1333" s="1457"/>
      <c r="S1333" s="1457"/>
      <c r="T1333" s="1457"/>
      <c r="U1333" s="1457"/>
      <c r="V1333" s="1457"/>
      <c r="W1333" s="1457"/>
      <c r="X1333" s="1457"/>
      <c r="Y1333" s="1457"/>
    </row>
    <row r="1334" spans="1:25" x14ac:dyDescent="0.2">
      <c r="A1334" s="2296"/>
      <c r="B1334" s="2296"/>
      <c r="C1334" s="2296"/>
      <c r="D1334" s="2296"/>
      <c r="E1334" s="1456"/>
      <c r="R1334" s="1457"/>
      <c r="S1334" s="1457"/>
      <c r="T1334" s="1457"/>
      <c r="U1334" s="1457"/>
      <c r="V1334" s="1457"/>
      <c r="W1334" s="1457"/>
      <c r="X1334" s="1457"/>
      <c r="Y1334" s="1457"/>
    </row>
    <row r="1335" spans="1:25" x14ac:dyDescent="0.2">
      <c r="A1335" s="2296"/>
      <c r="B1335" s="2296"/>
      <c r="C1335" s="2296"/>
      <c r="D1335" s="2296"/>
      <c r="E1335" s="1456"/>
      <c r="R1335" s="1457"/>
      <c r="S1335" s="1457"/>
      <c r="T1335" s="1457"/>
      <c r="U1335" s="1457"/>
      <c r="V1335" s="1457"/>
      <c r="W1335" s="1457"/>
      <c r="X1335" s="1457"/>
      <c r="Y1335" s="1457"/>
    </row>
    <row r="1336" spans="1:25" x14ac:dyDescent="0.2">
      <c r="A1336" s="2296"/>
      <c r="B1336" s="2296"/>
      <c r="C1336" s="2296"/>
      <c r="D1336" s="2296"/>
      <c r="E1336" s="1456"/>
      <c r="R1336" s="1457"/>
      <c r="S1336" s="1457"/>
      <c r="T1336" s="1457"/>
      <c r="U1336" s="1457"/>
      <c r="V1336" s="1457"/>
      <c r="W1336" s="1457"/>
      <c r="X1336" s="1457"/>
      <c r="Y1336" s="1457"/>
    </row>
    <row r="1337" spans="1:25" x14ac:dyDescent="0.2">
      <c r="A1337" s="2296"/>
      <c r="B1337" s="2296"/>
      <c r="C1337" s="2296"/>
      <c r="D1337" s="2296"/>
      <c r="E1337" s="1456"/>
      <c r="R1337" s="1457"/>
      <c r="S1337" s="1457"/>
      <c r="T1337" s="1457"/>
      <c r="U1337" s="1457"/>
      <c r="V1337" s="1457"/>
      <c r="W1337" s="1457"/>
      <c r="X1337" s="1457"/>
      <c r="Y1337" s="1457"/>
    </row>
    <row r="1338" spans="1:25" x14ac:dyDescent="0.2">
      <c r="A1338" s="2296"/>
      <c r="B1338" s="2296"/>
      <c r="C1338" s="2296"/>
      <c r="D1338" s="2296"/>
      <c r="E1338" s="1456"/>
      <c r="R1338" s="1457"/>
      <c r="S1338" s="1457"/>
      <c r="T1338" s="1457"/>
      <c r="U1338" s="1457"/>
      <c r="V1338" s="1457"/>
      <c r="W1338" s="1457"/>
      <c r="X1338" s="1457"/>
      <c r="Y1338" s="1457"/>
    </row>
    <row r="1339" spans="1:25" x14ac:dyDescent="0.2">
      <c r="A1339" s="2296"/>
      <c r="B1339" s="2296"/>
      <c r="C1339" s="2296"/>
      <c r="D1339" s="2296"/>
      <c r="E1339" s="1456"/>
      <c r="R1339" s="1457"/>
      <c r="S1339" s="1457"/>
      <c r="T1339" s="1457"/>
      <c r="U1339" s="1457"/>
      <c r="V1339" s="1457"/>
      <c r="W1339" s="1457"/>
      <c r="X1339" s="1457"/>
      <c r="Y1339" s="1457"/>
    </row>
    <row r="1340" spans="1:25" x14ac:dyDescent="0.2">
      <c r="A1340" s="2296"/>
      <c r="B1340" s="2296"/>
      <c r="C1340" s="2296"/>
      <c r="D1340" s="2296"/>
      <c r="E1340" s="1456"/>
      <c r="R1340" s="1457"/>
      <c r="S1340" s="1457"/>
      <c r="T1340" s="1457"/>
      <c r="U1340" s="1457"/>
      <c r="V1340" s="1457"/>
      <c r="W1340" s="1457"/>
      <c r="X1340" s="1457"/>
      <c r="Y1340" s="1457"/>
    </row>
    <row r="1341" spans="1:25" x14ac:dyDescent="0.2">
      <c r="A1341" s="2296"/>
      <c r="B1341" s="2296"/>
      <c r="C1341" s="2296"/>
      <c r="D1341" s="2296"/>
      <c r="E1341" s="1456"/>
      <c r="R1341" s="1457"/>
      <c r="S1341" s="1457"/>
      <c r="T1341" s="1457"/>
      <c r="U1341" s="1457"/>
      <c r="V1341" s="1457"/>
      <c r="W1341" s="1457"/>
      <c r="X1341" s="1457"/>
      <c r="Y1341" s="1457"/>
    </row>
    <row r="1342" spans="1:25" x14ac:dyDescent="0.2">
      <c r="A1342" s="2296"/>
      <c r="B1342" s="2296"/>
      <c r="C1342" s="2296"/>
      <c r="D1342" s="2296"/>
      <c r="E1342" s="1456"/>
      <c r="R1342" s="1457"/>
      <c r="S1342" s="1457"/>
      <c r="T1342" s="1457"/>
      <c r="U1342" s="1457"/>
      <c r="V1342" s="1457"/>
      <c r="W1342" s="1457"/>
      <c r="X1342" s="1457"/>
      <c r="Y1342" s="1457"/>
    </row>
    <row r="1343" spans="1:25" x14ac:dyDescent="0.2">
      <c r="A1343" s="2296"/>
      <c r="B1343" s="2296"/>
      <c r="C1343" s="2296"/>
      <c r="D1343" s="2296"/>
      <c r="E1343" s="1456"/>
      <c r="R1343" s="1457"/>
      <c r="S1343" s="1457"/>
      <c r="T1343" s="1457"/>
      <c r="U1343" s="1457"/>
      <c r="V1343" s="1457"/>
      <c r="W1343" s="1457"/>
      <c r="X1343" s="1457"/>
      <c r="Y1343" s="1457"/>
    </row>
    <row r="1344" spans="1:25" x14ac:dyDescent="0.2">
      <c r="A1344" s="2296"/>
      <c r="B1344" s="2296"/>
      <c r="C1344" s="2296"/>
      <c r="D1344" s="2296"/>
      <c r="E1344" s="1456"/>
      <c r="R1344" s="1457"/>
      <c r="S1344" s="1457"/>
      <c r="T1344" s="1457"/>
      <c r="U1344" s="1457"/>
      <c r="V1344" s="1457"/>
      <c r="W1344" s="1457"/>
      <c r="X1344" s="1457"/>
      <c r="Y1344" s="1457"/>
    </row>
    <row r="1345" spans="1:25" x14ac:dyDescent="0.2">
      <c r="A1345" s="2296"/>
      <c r="B1345" s="2296"/>
      <c r="C1345" s="2296"/>
      <c r="D1345" s="2296"/>
      <c r="E1345" s="1456"/>
      <c r="R1345" s="1457"/>
      <c r="S1345" s="1457"/>
      <c r="T1345" s="1457"/>
      <c r="U1345" s="1457"/>
      <c r="V1345" s="1457"/>
      <c r="W1345" s="1457"/>
      <c r="X1345" s="1457"/>
      <c r="Y1345" s="1457"/>
    </row>
    <row r="1346" spans="1:25" x14ac:dyDescent="0.2">
      <c r="A1346" s="2296"/>
      <c r="B1346" s="2296"/>
      <c r="C1346" s="2296"/>
      <c r="D1346" s="2296"/>
      <c r="E1346" s="1456"/>
      <c r="R1346" s="1457"/>
      <c r="S1346" s="1457"/>
      <c r="T1346" s="1457"/>
      <c r="U1346" s="1457"/>
      <c r="V1346" s="1457"/>
      <c r="W1346" s="1457"/>
      <c r="X1346" s="1457"/>
      <c r="Y1346" s="1457"/>
    </row>
    <row r="1347" spans="1:25" x14ac:dyDescent="0.2">
      <c r="A1347" s="2296"/>
      <c r="B1347" s="2296"/>
      <c r="C1347" s="2296"/>
      <c r="D1347" s="2296"/>
      <c r="E1347" s="1456"/>
      <c r="R1347" s="1457"/>
      <c r="S1347" s="1457"/>
      <c r="T1347" s="1457"/>
      <c r="U1347" s="1457"/>
      <c r="V1347" s="1457"/>
      <c r="W1347" s="1457"/>
      <c r="X1347" s="1457"/>
      <c r="Y1347" s="1457"/>
    </row>
    <row r="1348" spans="1:25" x14ac:dyDescent="0.2">
      <c r="A1348" s="2296"/>
      <c r="B1348" s="2296"/>
      <c r="C1348" s="2296"/>
      <c r="D1348" s="2296"/>
      <c r="E1348" s="1456"/>
      <c r="R1348" s="1457"/>
      <c r="S1348" s="1457"/>
      <c r="T1348" s="1457"/>
      <c r="U1348" s="1457"/>
      <c r="V1348" s="1457"/>
      <c r="W1348" s="1457"/>
      <c r="X1348" s="1457"/>
      <c r="Y1348" s="1457"/>
    </row>
    <row r="1349" spans="1:25" x14ac:dyDescent="0.2">
      <c r="A1349" s="2296"/>
      <c r="B1349" s="2296"/>
      <c r="C1349" s="2296"/>
      <c r="D1349" s="2296"/>
      <c r="E1349" s="1456"/>
      <c r="R1349" s="1457"/>
      <c r="S1349" s="1457"/>
      <c r="T1349" s="1457"/>
      <c r="U1349" s="1457"/>
      <c r="V1349" s="1457"/>
      <c r="W1349" s="1457"/>
      <c r="X1349" s="1457"/>
      <c r="Y1349" s="1457"/>
    </row>
    <row r="1350" spans="1:25" x14ac:dyDescent="0.2">
      <c r="A1350" s="2296"/>
      <c r="B1350" s="2296"/>
      <c r="C1350" s="2296"/>
      <c r="D1350" s="2296"/>
      <c r="E1350" s="1456"/>
      <c r="R1350" s="1457"/>
      <c r="S1350" s="1457"/>
      <c r="T1350" s="1457"/>
      <c r="U1350" s="1457"/>
      <c r="V1350" s="1457"/>
      <c r="W1350" s="1457"/>
      <c r="X1350" s="1457"/>
      <c r="Y1350" s="1457"/>
    </row>
    <row r="1351" spans="1:25" x14ac:dyDescent="0.2">
      <c r="A1351" s="2296"/>
      <c r="B1351" s="2296"/>
      <c r="C1351" s="2296"/>
      <c r="D1351" s="2296"/>
      <c r="E1351" s="1456"/>
      <c r="R1351" s="1457"/>
      <c r="S1351" s="1457"/>
      <c r="T1351" s="1457"/>
      <c r="U1351" s="1457"/>
      <c r="V1351" s="1457"/>
      <c r="W1351" s="1457"/>
      <c r="X1351" s="1457"/>
      <c r="Y1351" s="1457"/>
    </row>
    <row r="1352" spans="1:25" x14ac:dyDescent="0.2">
      <c r="A1352" s="2296"/>
      <c r="B1352" s="2296"/>
      <c r="C1352" s="2296"/>
      <c r="D1352" s="2296"/>
      <c r="E1352" s="1456"/>
      <c r="R1352" s="1457"/>
      <c r="S1352" s="1457"/>
      <c r="T1352" s="1457"/>
      <c r="U1352" s="1457"/>
      <c r="V1352" s="1457"/>
      <c r="W1352" s="1457"/>
      <c r="X1352" s="1457"/>
      <c r="Y1352" s="1457"/>
    </row>
    <row r="1353" spans="1:25" x14ac:dyDescent="0.2">
      <c r="A1353" s="2296"/>
      <c r="B1353" s="2296"/>
      <c r="C1353" s="2296"/>
      <c r="D1353" s="2296"/>
      <c r="E1353" s="1456"/>
      <c r="R1353" s="1457"/>
      <c r="S1353" s="1457"/>
      <c r="T1353" s="1457"/>
      <c r="U1353" s="1457"/>
      <c r="V1353" s="1457"/>
      <c r="W1353" s="1457"/>
      <c r="X1353" s="1457"/>
      <c r="Y1353" s="1457"/>
    </row>
    <row r="1354" spans="1:25" x14ac:dyDescent="0.2">
      <c r="A1354" s="2296"/>
      <c r="B1354" s="2296"/>
      <c r="C1354" s="2296"/>
      <c r="D1354" s="2296"/>
      <c r="E1354" s="1456"/>
      <c r="R1354" s="1457"/>
      <c r="S1354" s="1457"/>
      <c r="T1354" s="1457"/>
      <c r="U1354" s="1457"/>
      <c r="V1354" s="1457"/>
      <c r="W1354" s="1457"/>
      <c r="X1354" s="1457"/>
      <c r="Y1354" s="1457"/>
    </row>
    <row r="1355" spans="1:25" x14ac:dyDescent="0.2">
      <c r="A1355" s="2296"/>
      <c r="B1355" s="2296"/>
      <c r="C1355" s="2296"/>
      <c r="D1355" s="2296"/>
      <c r="E1355" s="1456"/>
      <c r="R1355" s="1457"/>
      <c r="S1355" s="1457"/>
      <c r="T1355" s="1457"/>
      <c r="U1355" s="1457"/>
      <c r="V1355" s="1457"/>
      <c r="W1355" s="1457"/>
      <c r="X1355" s="1457"/>
      <c r="Y1355" s="1457"/>
    </row>
    <row r="1356" spans="1:25" x14ac:dyDescent="0.2">
      <c r="A1356" s="2296"/>
      <c r="B1356" s="2296"/>
      <c r="C1356" s="2296"/>
      <c r="D1356" s="2296"/>
      <c r="E1356" s="1456"/>
      <c r="R1356" s="1457"/>
      <c r="S1356" s="1457"/>
      <c r="T1356" s="1457"/>
      <c r="U1356" s="1457"/>
      <c r="V1356" s="1457"/>
      <c r="W1356" s="1457"/>
      <c r="X1356" s="1457"/>
      <c r="Y1356" s="1457"/>
    </row>
    <row r="1357" spans="1:25" x14ac:dyDescent="0.2">
      <c r="A1357" s="2296"/>
      <c r="B1357" s="2296"/>
      <c r="C1357" s="2296"/>
      <c r="D1357" s="2296"/>
      <c r="E1357" s="1456"/>
      <c r="R1357" s="1457"/>
      <c r="S1357" s="1457"/>
      <c r="T1357" s="1457"/>
      <c r="U1357" s="1457"/>
      <c r="V1357" s="1457"/>
      <c r="W1357" s="1457"/>
      <c r="X1357" s="1457"/>
      <c r="Y1357" s="1457"/>
    </row>
    <row r="1358" spans="1:25" x14ac:dyDescent="0.2">
      <c r="A1358" s="2296"/>
      <c r="B1358" s="2296"/>
      <c r="C1358" s="2296"/>
      <c r="D1358" s="2296"/>
      <c r="E1358" s="1456"/>
      <c r="R1358" s="1457"/>
      <c r="S1358" s="1457"/>
      <c r="T1358" s="1457"/>
      <c r="U1358" s="1457"/>
      <c r="V1358" s="1457"/>
      <c r="W1358" s="1457"/>
      <c r="X1358" s="1457"/>
      <c r="Y1358" s="1457"/>
    </row>
    <row r="1359" spans="1:25" x14ac:dyDescent="0.2">
      <c r="A1359" s="2296"/>
      <c r="B1359" s="2296"/>
      <c r="C1359" s="2296"/>
      <c r="D1359" s="2296"/>
      <c r="E1359" s="1456"/>
      <c r="R1359" s="1457"/>
      <c r="S1359" s="1457"/>
      <c r="T1359" s="1457"/>
      <c r="U1359" s="1457"/>
      <c r="V1359" s="1457"/>
      <c r="W1359" s="1457"/>
      <c r="X1359" s="1457"/>
      <c r="Y1359" s="1457"/>
    </row>
    <row r="1360" spans="1:25" x14ac:dyDescent="0.2">
      <c r="A1360" s="2296"/>
      <c r="B1360" s="2296"/>
      <c r="C1360" s="2296"/>
      <c r="D1360" s="2296"/>
      <c r="E1360" s="1456"/>
      <c r="R1360" s="1457"/>
      <c r="S1360" s="1457"/>
      <c r="T1360" s="1457"/>
      <c r="U1360" s="1457"/>
      <c r="V1360" s="1457"/>
      <c r="W1360" s="1457"/>
      <c r="X1360" s="1457"/>
      <c r="Y1360" s="1457"/>
    </row>
    <row r="1361" spans="1:25" x14ac:dyDescent="0.2">
      <c r="A1361" s="2296"/>
      <c r="B1361" s="2296"/>
      <c r="C1361" s="2296"/>
      <c r="D1361" s="2296"/>
      <c r="E1361" s="1456"/>
      <c r="R1361" s="1457"/>
      <c r="S1361" s="1457"/>
      <c r="T1361" s="1457"/>
      <c r="U1361" s="1457"/>
      <c r="V1361" s="1457"/>
      <c r="W1361" s="1457"/>
      <c r="X1361" s="1457"/>
      <c r="Y1361" s="1457"/>
    </row>
    <row r="1362" spans="1:25" x14ac:dyDescent="0.2">
      <c r="A1362" s="2296"/>
      <c r="B1362" s="2296"/>
      <c r="C1362" s="2296"/>
      <c r="D1362" s="2296"/>
      <c r="E1362" s="1456"/>
      <c r="R1362" s="1457"/>
      <c r="S1362" s="1457"/>
      <c r="T1362" s="1457"/>
      <c r="U1362" s="1457"/>
      <c r="V1362" s="1457"/>
      <c r="W1362" s="1457"/>
      <c r="X1362" s="1457"/>
      <c r="Y1362" s="1457"/>
    </row>
    <row r="1363" spans="1:25" x14ac:dyDescent="0.2">
      <c r="A1363" s="2296"/>
      <c r="B1363" s="2296"/>
      <c r="C1363" s="2296"/>
      <c r="D1363" s="2296"/>
      <c r="E1363" s="1456"/>
      <c r="R1363" s="1457"/>
      <c r="S1363" s="1457"/>
      <c r="T1363" s="1457"/>
      <c r="U1363" s="1457"/>
      <c r="V1363" s="1457"/>
      <c r="W1363" s="1457"/>
      <c r="X1363" s="1457"/>
      <c r="Y1363" s="1457"/>
    </row>
    <row r="1364" spans="1:25" x14ac:dyDescent="0.2">
      <c r="A1364" s="2296"/>
      <c r="B1364" s="2296"/>
      <c r="C1364" s="2296"/>
      <c r="D1364" s="2296"/>
      <c r="E1364" s="1456"/>
      <c r="R1364" s="1457"/>
      <c r="S1364" s="1457"/>
      <c r="T1364" s="1457"/>
      <c r="U1364" s="1457"/>
      <c r="V1364" s="1457"/>
      <c r="W1364" s="1457"/>
      <c r="X1364" s="1457"/>
      <c r="Y1364" s="1457"/>
    </row>
    <row r="1365" spans="1:25" x14ac:dyDescent="0.2">
      <c r="A1365" s="2296"/>
      <c r="B1365" s="2296"/>
      <c r="C1365" s="2296"/>
      <c r="D1365" s="2296"/>
      <c r="E1365" s="1456"/>
      <c r="R1365" s="1457"/>
      <c r="S1365" s="1457"/>
      <c r="T1365" s="1457"/>
      <c r="U1365" s="1457"/>
      <c r="V1365" s="1457"/>
      <c r="W1365" s="1457"/>
      <c r="X1365" s="1457"/>
      <c r="Y1365" s="1457"/>
    </row>
    <row r="1366" spans="1:25" x14ac:dyDescent="0.2">
      <c r="A1366" s="2296"/>
      <c r="B1366" s="2296"/>
      <c r="C1366" s="2296"/>
      <c r="D1366" s="2296"/>
      <c r="E1366" s="1456"/>
      <c r="R1366" s="1457"/>
      <c r="S1366" s="1457"/>
      <c r="T1366" s="1457"/>
      <c r="U1366" s="1457"/>
      <c r="V1366" s="1457"/>
      <c r="W1366" s="1457"/>
      <c r="X1366" s="1457"/>
      <c r="Y1366" s="1457"/>
    </row>
    <row r="1367" spans="1:25" x14ac:dyDescent="0.2">
      <c r="A1367" s="2296"/>
      <c r="B1367" s="2296"/>
      <c r="C1367" s="2296"/>
      <c r="D1367" s="2296"/>
      <c r="E1367" s="1456"/>
      <c r="R1367" s="1457"/>
      <c r="S1367" s="1457"/>
      <c r="T1367" s="1457"/>
      <c r="U1367" s="1457"/>
      <c r="V1367" s="1457"/>
      <c r="W1367" s="1457"/>
      <c r="X1367" s="1457"/>
      <c r="Y1367" s="1457"/>
    </row>
    <row r="1368" spans="1:25" x14ac:dyDescent="0.2">
      <c r="A1368" s="2296"/>
      <c r="B1368" s="2296"/>
      <c r="C1368" s="2296"/>
      <c r="D1368" s="2296"/>
      <c r="E1368" s="1456"/>
      <c r="R1368" s="1457"/>
      <c r="S1368" s="1457"/>
      <c r="T1368" s="1457"/>
      <c r="U1368" s="1457"/>
      <c r="V1368" s="1457"/>
      <c r="W1368" s="1457"/>
      <c r="X1368" s="1457"/>
      <c r="Y1368" s="1457"/>
    </row>
    <row r="1369" spans="1:25" x14ac:dyDescent="0.2">
      <c r="A1369" s="2296"/>
      <c r="B1369" s="2296"/>
      <c r="C1369" s="2296"/>
      <c r="D1369" s="2296"/>
      <c r="E1369" s="1456"/>
      <c r="R1369" s="1457"/>
      <c r="S1369" s="1457"/>
      <c r="T1369" s="1457"/>
      <c r="U1369" s="1457"/>
      <c r="V1369" s="1457"/>
      <c r="W1369" s="1457"/>
      <c r="X1369" s="1457"/>
      <c r="Y1369" s="1457"/>
    </row>
    <row r="1370" spans="1:25" x14ac:dyDescent="0.2">
      <c r="A1370" s="2296"/>
      <c r="B1370" s="2296"/>
      <c r="C1370" s="2296"/>
      <c r="D1370" s="2296"/>
      <c r="E1370" s="1456"/>
      <c r="R1370" s="1457"/>
      <c r="S1370" s="1457"/>
      <c r="T1370" s="1457"/>
      <c r="U1370" s="1457"/>
      <c r="V1370" s="1457"/>
      <c r="W1370" s="1457"/>
      <c r="X1370" s="1457"/>
      <c r="Y1370" s="1457"/>
    </row>
    <row r="1371" spans="1:25" x14ac:dyDescent="0.2">
      <c r="A1371" s="2296"/>
      <c r="B1371" s="2296"/>
      <c r="C1371" s="2296"/>
      <c r="D1371" s="2296"/>
      <c r="E1371" s="1456"/>
      <c r="R1371" s="1457"/>
      <c r="S1371" s="1457"/>
      <c r="T1371" s="1457"/>
      <c r="U1371" s="1457"/>
      <c r="V1371" s="1457"/>
      <c r="W1371" s="1457"/>
      <c r="X1371" s="1457"/>
      <c r="Y1371" s="1457"/>
    </row>
    <row r="1372" spans="1:25" x14ac:dyDescent="0.2">
      <c r="A1372" s="2296"/>
      <c r="B1372" s="2296"/>
      <c r="C1372" s="2296"/>
      <c r="D1372" s="2296"/>
      <c r="E1372" s="1456"/>
      <c r="R1372" s="1457"/>
      <c r="S1372" s="1457"/>
      <c r="T1372" s="1457"/>
      <c r="U1372" s="1457"/>
      <c r="V1372" s="1457"/>
      <c r="W1372" s="1457"/>
      <c r="X1372" s="1457"/>
      <c r="Y1372" s="1457"/>
    </row>
    <row r="1373" spans="1:25" x14ac:dyDescent="0.2">
      <c r="A1373" s="2296"/>
      <c r="B1373" s="2296"/>
      <c r="C1373" s="2296"/>
      <c r="D1373" s="2296"/>
      <c r="E1373" s="1456"/>
      <c r="R1373" s="1457"/>
      <c r="S1373" s="1457"/>
      <c r="T1373" s="1457"/>
      <c r="U1373" s="1457"/>
      <c r="V1373" s="1457"/>
      <c r="W1373" s="1457"/>
      <c r="X1373" s="1457"/>
      <c r="Y1373" s="1457"/>
    </row>
    <row r="1374" spans="1:25" x14ac:dyDescent="0.2">
      <c r="A1374" s="2296"/>
      <c r="B1374" s="2296"/>
      <c r="C1374" s="2296"/>
      <c r="D1374" s="2296"/>
      <c r="E1374" s="1456"/>
      <c r="R1374" s="1457"/>
      <c r="S1374" s="1457"/>
      <c r="T1374" s="1457"/>
      <c r="U1374" s="1457"/>
      <c r="V1374" s="1457"/>
      <c r="W1374" s="1457"/>
      <c r="X1374" s="1457"/>
      <c r="Y1374" s="1457"/>
    </row>
    <row r="1375" spans="1:25" x14ac:dyDescent="0.2">
      <c r="A1375" s="2296"/>
      <c r="B1375" s="2296"/>
      <c r="C1375" s="2296"/>
      <c r="D1375" s="2296"/>
      <c r="E1375" s="1456"/>
      <c r="R1375" s="1457"/>
      <c r="S1375" s="1457"/>
      <c r="T1375" s="1457"/>
      <c r="U1375" s="1457"/>
      <c r="V1375" s="1457"/>
      <c r="W1375" s="1457"/>
      <c r="X1375" s="1457"/>
      <c r="Y1375" s="1457"/>
    </row>
    <row r="1376" spans="1:25" x14ac:dyDescent="0.2">
      <c r="A1376" s="2296"/>
      <c r="B1376" s="2296"/>
      <c r="C1376" s="2296"/>
      <c r="D1376" s="2296"/>
      <c r="E1376" s="1456"/>
      <c r="R1376" s="1457"/>
      <c r="S1376" s="1457"/>
      <c r="T1376" s="1457"/>
      <c r="U1376" s="1457"/>
      <c r="V1376" s="1457"/>
      <c r="W1376" s="1457"/>
      <c r="X1376" s="1457"/>
      <c r="Y1376" s="1457"/>
    </row>
    <row r="1377" spans="1:25" x14ac:dyDescent="0.2">
      <c r="A1377" s="2296"/>
      <c r="B1377" s="2296"/>
      <c r="C1377" s="2296"/>
      <c r="D1377" s="2296"/>
      <c r="E1377" s="1456"/>
      <c r="R1377" s="1457"/>
      <c r="S1377" s="1457"/>
      <c r="T1377" s="1457"/>
      <c r="U1377" s="1457"/>
      <c r="V1377" s="1457"/>
      <c r="W1377" s="1457"/>
      <c r="X1377" s="1457"/>
      <c r="Y1377" s="1457"/>
    </row>
    <row r="1378" spans="1:25" x14ac:dyDescent="0.2">
      <c r="A1378" s="2296"/>
      <c r="B1378" s="2296"/>
      <c r="C1378" s="2296"/>
      <c r="D1378" s="2296"/>
      <c r="E1378" s="1456"/>
      <c r="R1378" s="1457"/>
      <c r="S1378" s="1457"/>
      <c r="T1378" s="1457"/>
      <c r="U1378" s="1457"/>
      <c r="V1378" s="1457"/>
      <c r="W1378" s="1457"/>
      <c r="X1378" s="1457"/>
      <c r="Y1378" s="1457"/>
    </row>
    <row r="1379" spans="1:25" x14ac:dyDescent="0.2">
      <c r="A1379" s="2296"/>
      <c r="B1379" s="2296"/>
      <c r="C1379" s="2296"/>
      <c r="D1379" s="2296"/>
      <c r="E1379" s="1456"/>
      <c r="R1379" s="1457"/>
      <c r="S1379" s="1457"/>
      <c r="T1379" s="1457"/>
      <c r="U1379" s="1457"/>
      <c r="V1379" s="1457"/>
      <c r="W1379" s="1457"/>
      <c r="X1379" s="1457"/>
      <c r="Y1379" s="1457"/>
    </row>
    <row r="1380" spans="1:25" x14ac:dyDescent="0.2">
      <c r="A1380" s="2296"/>
      <c r="B1380" s="2296"/>
      <c r="C1380" s="2296"/>
      <c r="D1380" s="2296"/>
      <c r="E1380" s="1456"/>
      <c r="R1380" s="1457"/>
      <c r="S1380" s="1457"/>
      <c r="T1380" s="1457"/>
      <c r="U1380" s="1457"/>
      <c r="V1380" s="1457"/>
      <c r="W1380" s="1457"/>
      <c r="X1380" s="1457"/>
      <c r="Y1380" s="1457"/>
    </row>
    <row r="1381" spans="1:25" x14ac:dyDescent="0.2">
      <c r="A1381" s="2296"/>
      <c r="B1381" s="2296"/>
      <c r="C1381" s="2296"/>
      <c r="D1381" s="2296"/>
      <c r="E1381" s="1456"/>
      <c r="R1381" s="1457"/>
      <c r="S1381" s="1457"/>
      <c r="T1381" s="1457"/>
      <c r="U1381" s="1457"/>
      <c r="V1381" s="1457"/>
      <c r="W1381" s="1457"/>
      <c r="X1381" s="1457"/>
      <c r="Y1381" s="1457"/>
    </row>
    <row r="1382" spans="1:25" x14ac:dyDescent="0.2">
      <c r="A1382" s="2296"/>
      <c r="B1382" s="2296"/>
      <c r="C1382" s="2296"/>
      <c r="D1382" s="2296"/>
      <c r="E1382" s="1456"/>
      <c r="R1382" s="1457"/>
      <c r="S1382" s="1457"/>
      <c r="T1382" s="1457"/>
      <c r="U1382" s="1457"/>
      <c r="V1382" s="1457"/>
      <c r="W1382" s="1457"/>
      <c r="X1382" s="1457"/>
      <c r="Y1382" s="1457"/>
    </row>
    <row r="1383" spans="1:25" x14ac:dyDescent="0.2">
      <c r="A1383" s="2296"/>
      <c r="B1383" s="2296"/>
      <c r="C1383" s="2296"/>
      <c r="D1383" s="2296"/>
      <c r="E1383" s="1456"/>
      <c r="R1383" s="1457"/>
      <c r="S1383" s="1457"/>
      <c r="T1383" s="1457"/>
      <c r="U1383" s="1457"/>
      <c r="V1383" s="1457"/>
      <c r="W1383" s="1457"/>
      <c r="X1383" s="1457"/>
      <c r="Y1383" s="1457"/>
    </row>
    <row r="1384" spans="1:25" x14ac:dyDescent="0.2">
      <c r="A1384" s="2296"/>
      <c r="B1384" s="2296"/>
      <c r="C1384" s="2296"/>
      <c r="D1384" s="2296"/>
      <c r="E1384" s="1456"/>
      <c r="R1384" s="1457"/>
      <c r="S1384" s="1457"/>
      <c r="T1384" s="1457"/>
      <c r="U1384" s="1457"/>
      <c r="V1384" s="1457"/>
      <c r="W1384" s="1457"/>
      <c r="X1384" s="1457"/>
      <c r="Y1384" s="1457"/>
    </row>
    <row r="1385" spans="1:25" x14ac:dyDescent="0.2">
      <c r="A1385" s="2296"/>
      <c r="B1385" s="2296"/>
      <c r="C1385" s="2296"/>
      <c r="D1385" s="2296"/>
      <c r="E1385" s="1456"/>
      <c r="R1385" s="1457"/>
      <c r="S1385" s="1457"/>
      <c r="T1385" s="1457"/>
      <c r="U1385" s="1457"/>
      <c r="V1385" s="1457"/>
      <c r="W1385" s="1457"/>
      <c r="X1385" s="1457"/>
      <c r="Y1385" s="1457"/>
    </row>
    <row r="1386" spans="1:25" x14ac:dyDescent="0.2">
      <c r="A1386" s="2296"/>
      <c r="B1386" s="2296"/>
      <c r="C1386" s="2296"/>
      <c r="D1386" s="2296"/>
      <c r="E1386" s="1456"/>
      <c r="R1386" s="1457"/>
      <c r="S1386" s="1457"/>
      <c r="T1386" s="1457"/>
      <c r="U1386" s="1457"/>
      <c r="V1386" s="1457"/>
      <c r="W1386" s="1457"/>
      <c r="X1386" s="1457"/>
      <c r="Y1386" s="1457"/>
    </row>
    <row r="1387" spans="1:25" x14ac:dyDescent="0.2">
      <c r="A1387" s="2296"/>
      <c r="B1387" s="2296"/>
      <c r="C1387" s="2296"/>
      <c r="D1387" s="2296"/>
      <c r="E1387" s="1456"/>
      <c r="R1387" s="1457"/>
      <c r="S1387" s="1457"/>
      <c r="T1387" s="1457"/>
      <c r="U1387" s="1457"/>
      <c r="V1387" s="1457"/>
      <c r="W1387" s="1457"/>
      <c r="X1387" s="1457"/>
      <c r="Y1387" s="1457"/>
    </row>
    <row r="1388" spans="1:25" x14ac:dyDescent="0.2">
      <c r="A1388" s="2296"/>
      <c r="B1388" s="2296"/>
      <c r="C1388" s="2296"/>
      <c r="D1388" s="2296"/>
      <c r="E1388" s="1456"/>
      <c r="R1388" s="1457"/>
      <c r="S1388" s="1457"/>
      <c r="T1388" s="1457"/>
      <c r="U1388" s="1457"/>
      <c r="V1388" s="1457"/>
      <c r="W1388" s="1457"/>
      <c r="X1388" s="1457"/>
      <c r="Y1388" s="1457"/>
    </row>
    <row r="1389" spans="1:25" x14ac:dyDescent="0.2">
      <c r="A1389" s="2296"/>
      <c r="B1389" s="2296"/>
      <c r="C1389" s="2296"/>
      <c r="D1389" s="2296"/>
      <c r="E1389" s="1456"/>
      <c r="R1389" s="1457"/>
      <c r="S1389" s="1457"/>
      <c r="T1389" s="1457"/>
      <c r="U1389" s="1457"/>
      <c r="V1389" s="1457"/>
      <c r="W1389" s="1457"/>
      <c r="X1389" s="1457"/>
      <c r="Y1389" s="1457"/>
    </row>
    <row r="1390" spans="1:25" x14ac:dyDescent="0.2">
      <c r="A1390" s="2296"/>
      <c r="B1390" s="2296"/>
      <c r="C1390" s="2296"/>
      <c r="D1390" s="2296"/>
      <c r="E1390" s="1456"/>
      <c r="R1390" s="1457"/>
      <c r="S1390" s="1457"/>
      <c r="T1390" s="1457"/>
      <c r="U1390" s="1457"/>
      <c r="V1390" s="1457"/>
      <c r="W1390" s="1457"/>
      <c r="X1390" s="1457"/>
      <c r="Y1390" s="1457"/>
    </row>
    <row r="1391" spans="1:25" x14ac:dyDescent="0.2">
      <c r="A1391" s="2296"/>
      <c r="B1391" s="2296"/>
      <c r="C1391" s="2296"/>
      <c r="D1391" s="2296"/>
      <c r="E1391" s="1456"/>
      <c r="R1391" s="1457"/>
      <c r="S1391" s="1457"/>
      <c r="T1391" s="1457"/>
      <c r="U1391" s="1457"/>
      <c r="V1391" s="1457"/>
      <c r="W1391" s="1457"/>
      <c r="X1391" s="1457"/>
      <c r="Y1391" s="1457"/>
    </row>
    <row r="1392" spans="1:25" x14ac:dyDescent="0.2">
      <c r="A1392" s="2296"/>
      <c r="B1392" s="2296"/>
      <c r="C1392" s="2296"/>
      <c r="D1392" s="2296"/>
      <c r="E1392" s="1456"/>
      <c r="R1392" s="1457"/>
      <c r="S1392" s="1457"/>
      <c r="T1392" s="1457"/>
      <c r="U1392" s="1457"/>
      <c r="V1392" s="1457"/>
      <c r="W1392" s="1457"/>
      <c r="X1392" s="1457"/>
      <c r="Y1392" s="1457"/>
    </row>
    <row r="1393" spans="1:25" x14ac:dyDescent="0.2">
      <c r="A1393" s="2296"/>
      <c r="B1393" s="2296"/>
      <c r="C1393" s="2296"/>
      <c r="D1393" s="2296"/>
      <c r="E1393" s="1456"/>
      <c r="R1393" s="1457"/>
      <c r="S1393" s="1457"/>
      <c r="T1393" s="1457"/>
      <c r="U1393" s="1457"/>
      <c r="V1393" s="1457"/>
      <c r="W1393" s="1457"/>
      <c r="X1393" s="1457"/>
      <c r="Y1393" s="1457"/>
    </row>
    <row r="1394" spans="1:25" x14ac:dyDescent="0.2">
      <c r="A1394" s="2296"/>
      <c r="B1394" s="2296"/>
      <c r="C1394" s="2296"/>
      <c r="D1394" s="2296"/>
      <c r="E1394" s="1456"/>
      <c r="R1394" s="1457"/>
      <c r="S1394" s="1457"/>
      <c r="T1394" s="1457"/>
      <c r="U1394" s="1457"/>
      <c r="V1394" s="1457"/>
      <c r="W1394" s="1457"/>
      <c r="X1394" s="1457"/>
      <c r="Y1394" s="1457"/>
    </row>
    <row r="1395" spans="1:25" x14ac:dyDescent="0.2">
      <c r="A1395" s="2296"/>
      <c r="B1395" s="2296"/>
      <c r="C1395" s="2296"/>
      <c r="D1395" s="2296"/>
      <c r="E1395" s="1456"/>
      <c r="R1395" s="1457"/>
      <c r="S1395" s="1457"/>
      <c r="T1395" s="1457"/>
      <c r="U1395" s="1457"/>
      <c r="V1395" s="1457"/>
      <c r="W1395" s="1457"/>
      <c r="X1395" s="1457"/>
      <c r="Y1395" s="1457"/>
    </row>
    <row r="1396" spans="1:25" x14ac:dyDescent="0.2">
      <c r="A1396" s="2296"/>
      <c r="B1396" s="2296"/>
      <c r="C1396" s="2296"/>
      <c r="D1396" s="2296"/>
      <c r="E1396" s="1456"/>
      <c r="R1396" s="1457"/>
      <c r="S1396" s="1457"/>
      <c r="T1396" s="1457"/>
      <c r="U1396" s="1457"/>
      <c r="V1396" s="1457"/>
      <c r="W1396" s="1457"/>
      <c r="X1396" s="1457"/>
      <c r="Y1396" s="1457"/>
    </row>
    <row r="1397" spans="1:25" x14ac:dyDescent="0.2">
      <c r="A1397" s="2296"/>
      <c r="B1397" s="2296"/>
      <c r="C1397" s="2296"/>
      <c r="D1397" s="2296"/>
      <c r="E1397" s="1456"/>
      <c r="R1397" s="1457"/>
      <c r="S1397" s="1457"/>
      <c r="T1397" s="1457"/>
      <c r="U1397" s="1457"/>
      <c r="V1397" s="1457"/>
      <c r="W1397" s="1457"/>
      <c r="X1397" s="1457"/>
      <c r="Y1397" s="1457"/>
    </row>
    <row r="1398" spans="1:25" x14ac:dyDescent="0.2">
      <c r="A1398" s="2296"/>
      <c r="B1398" s="2296"/>
      <c r="C1398" s="2296"/>
      <c r="D1398" s="2296"/>
      <c r="E1398" s="1456"/>
      <c r="R1398" s="1457"/>
      <c r="S1398" s="1457"/>
      <c r="T1398" s="1457"/>
      <c r="U1398" s="1457"/>
      <c r="V1398" s="1457"/>
      <c r="W1398" s="1457"/>
      <c r="X1398" s="1457"/>
      <c r="Y1398" s="1457"/>
    </row>
    <row r="1399" spans="1:25" x14ac:dyDescent="0.2">
      <c r="A1399" s="2296"/>
      <c r="B1399" s="2296"/>
      <c r="C1399" s="2296"/>
      <c r="D1399" s="2296"/>
      <c r="E1399" s="1456"/>
      <c r="R1399" s="1457"/>
      <c r="S1399" s="1457"/>
      <c r="T1399" s="1457"/>
      <c r="U1399" s="1457"/>
      <c r="V1399" s="1457"/>
      <c r="W1399" s="1457"/>
      <c r="X1399" s="1457"/>
      <c r="Y1399" s="1457"/>
    </row>
    <row r="1400" spans="1:25" x14ac:dyDescent="0.2">
      <c r="A1400" s="2296"/>
      <c r="B1400" s="2296"/>
      <c r="C1400" s="2296"/>
      <c r="D1400" s="2296"/>
      <c r="E1400" s="1456"/>
      <c r="R1400" s="1457"/>
      <c r="S1400" s="1457"/>
      <c r="T1400" s="1457"/>
      <c r="U1400" s="1457"/>
      <c r="V1400" s="1457"/>
      <c r="W1400" s="1457"/>
      <c r="X1400" s="1457"/>
      <c r="Y1400" s="1457"/>
    </row>
    <row r="1401" spans="1:25" x14ac:dyDescent="0.2">
      <c r="A1401" s="2296"/>
      <c r="B1401" s="2296"/>
      <c r="C1401" s="2296"/>
      <c r="D1401" s="2296"/>
      <c r="E1401" s="1456"/>
      <c r="R1401" s="1457"/>
      <c r="S1401" s="1457"/>
      <c r="T1401" s="1457"/>
      <c r="U1401" s="1457"/>
      <c r="V1401" s="1457"/>
      <c r="W1401" s="1457"/>
      <c r="X1401" s="1457"/>
      <c r="Y1401" s="1457"/>
    </row>
    <row r="1402" spans="1:25" x14ac:dyDescent="0.2">
      <c r="A1402" s="2296"/>
      <c r="B1402" s="2296"/>
      <c r="C1402" s="2296"/>
      <c r="D1402" s="2296"/>
      <c r="E1402" s="1456"/>
      <c r="R1402" s="1457"/>
      <c r="S1402" s="1457"/>
      <c r="T1402" s="1457"/>
      <c r="U1402" s="1457"/>
      <c r="V1402" s="1457"/>
      <c r="W1402" s="1457"/>
      <c r="X1402" s="1457"/>
      <c r="Y1402" s="1457"/>
    </row>
    <row r="1403" spans="1:25" x14ac:dyDescent="0.2">
      <c r="A1403" s="2296"/>
      <c r="B1403" s="2296"/>
      <c r="C1403" s="2296"/>
      <c r="D1403" s="2296"/>
      <c r="E1403" s="1456"/>
      <c r="R1403" s="1457"/>
      <c r="S1403" s="1457"/>
      <c r="T1403" s="1457"/>
      <c r="U1403" s="1457"/>
      <c r="V1403" s="1457"/>
      <c r="W1403" s="1457"/>
      <c r="X1403" s="1457"/>
      <c r="Y1403" s="1457"/>
    </row>
    <row r="1404" spans="1:25" x14ac:dyDescent="0.2">
      <c r="A1404" s="2296"/>
      <c r="B1404" s="2296"/>
      <c r="C1404" s="2296"/>
      <c r="D1404" s="2296"/>
      <c r="E1404" s="1456"/>
      <c r="R1404" s="1457"/>
      <c r="S1404" s="1457"/>
      <c r="T1404" s="1457"/>
      <c r="U1404" s="1457"/>
      <c r="V1404" s="1457"/>
      <c r="W1404" s="1457"/>
      <c r="X1404" s="1457"/>
      <c r="Y1404" s="1457"/>
    </row>
    <row r="1405" spans="1:25" x14ac:dyDescent="0.2">
      <c r="A1405" s="2296"/>
      <c r="B1405" s="2296"/>
      <c r="C1405" s="2296"/>
      <c r="D1405" s="2296"/>
      <c r="E1405" s="1456"/>
      <c r="R1405" s="1457"/>
      <c r="S1405" s="1457"/>
      <c r="T1405" s="1457"/>
      <c r="U1405" s="1457"/>
      <c r="V1405" s="1457"/>
      <c r="W1405" s="1457"/>
      <c r="X1405" s="1457"/>
      <c r="Y1405" s="1457"/>
    </row>
    <row r="1406" spans="1:25" x14ac:dyDescent="0.2">
      <c r="A1406" s="2296"/>
      <c r="B1406" s="2296"/>
      <c r="C1406" s="2296"/>
      <c r="D1406" s="2296"/>
      <c r="E1406" s="1456"/>
      <c r="R1406" s="1457"/>
      <c r="S1406" s="1457"/>
      <c r="T1406" s="1457"/>
      <c r="U1406" s="1457"/>
      <c r="V1406" s="1457"/>
      <c r="W1406" s="1457"/>
      <c r="X1406" s="1457"/>
      <c r="Y1406" s="1457"/>
    </row>
    <row r="1407" spans="1:25" x14ac:dyDescent="0.2">
      <c r="A1407" s="2296"/>
      <c r="B1407" s="2296"/>
      <c r="C1407" s="2296"/>
      <c r="D1407" s="2296"/>
      <c r="E1407" s="1456"/>
      <c r="R1407" s="1457"/>
      <c r="S1407" s="1457"/>
      <c r="T1407" s="1457"/>
      <c r="U1407" s="1457"/>
      <c r="V1407" s="1457"/>
      <c r="W1407" s="1457"/>
      <c r="X1407" s="1457"/>
      <c r="Y1407" s="1457"/>
    </row>
    <row r="1408" spans="1:25" x14ac:dyDescent="0.2">
      <c r="A1408" s="2296"/>
      <c r="B1408" s="2296"/>
      <c r="C1408" s="2296"/>
      <c r="D1408" s="2296"/>
      <c r="E1408" s="1456"/>
      <c r="R1408" s="1457"/>
      <c r="S1408" s="1457"/>
      <c r="T1408" s="1457"/>
      <c r="U1408" s="1457"/>
      <c r="V1408" s="1457"/>
      <c r="W1408" s="1457"/>
      <c r="X1408" s="1457"/>
      <c r="Y1408" s="1457"/>
    </row>
    <row r="1409" spans="1:25" x14ac:dyDescent="0.2">
      <c r="A1409" s="2296"/>
      <c r="B1409" s="2296"/>
      <c r="C1409" s="2296"/>
      <c r="D1409" s="2296"/>
      <c r="E1409" s="1456"/>
      <c r="R1409" s="1457"/>
      <c r="S1409" s="1457"/>
      <c r="T1409" s="1457"/>
      <c r="U1409" s="1457"/>
      <c r="V1409" s="1457"/>
      <c r="W1409" s="1457"/>
      <c r="X1409" s="1457"/>
      <c r="Y1409" s="1457"/>
    </row>
    <row r="1410" spans="1:25" x14ac:dyDescent="0.2">
      <c r="A1410" s="2296"/>
      <c r="B1410" s="2296"/>
      <c r="C1410" s="2296"/>
      <c r="D1410" s="2296"/>
      <c r="E1410" s="1456"/>
      <c r="R1410" s="1457"/>
      <c r="S1410" s="1457"/>
      <c r="T1410" s="1457"/>
      <c r="U1410" s="1457"/>
      <c r="V1410" s="1457"/>
      <c r="W1410" s="1457"/>
      <c r="X1410" s="1457"/>
      <c r="Y1410" s="1457"/>
    </row>
    <row r="1411" spans="1:25" x14ac:dyDescent="0.2">
      <c r="A1411" s="2296"/>
      <c r="B1411" s="2296"/>
      <c r="C1411" s="2296"/>
      <c r="D1411" s="2296"/>
      <c r="E1411" s="1456"/>
      <c r="R1411" s="1457"/>
      <c r="S1411" s="1457"/>
      <c r="T1411" s="1457"/>
      <c r="U1411" s="1457"/>
      <c r="V1411" s="1457"/>
      <c r="W1411" s="1457"/>
      <c r="X1411" s="1457"/>
      <c r="Y1411" s="1457"/>
    </row>
    <row r="1412" spans="1:25" x14ac:dyDescent="0.2">
      <c r="A1412" s="2296"/>
      <c r="B1412" s="2296"/>
      <c r="C1412" s="2296"/>
      <c r="D1412" s="2296"/>
      <c r="E1412" s="1456"/>
      <c r="R1412" s="1457"/>
      <c r="S1412" s="1457"/>
      <c r="T1412" s="1457"/>
      <c r="U1412" s="1457"/>
      <c r="V1412" s="1457"/>
      <c r="W1412" s="1457"/>
      <c r="X1412" s="1457"/>
      <c r="Y1412" s="1457"/>
    </row>
    <row r="1413" spans="1:25" x14ac:dyDescent="0.2">
      <c r="A1413" s="2296"/>
      <c r="B1413" s="2296"/>
      <c r="C1413" s="2296"/>
      <c r="D1413" s="2296"/>
      <c r="E1413" s="1456"/>
      <c r="R1413" s="1457"/>
      <c r="S1413" s="1457"/>
      <c r="T1413" s="1457"/>
      <c r="U1413" s="1457"/>
      <c r="V1413" s="1457"/>
      <c r="W1413" s="1457"/>
      <c r="X1413" s="1457"/>
      <c r="Y1413" s="1457"/>
    </row>
    <row r="1414" spans="1:25" x14ac:dyDescent="0.2">
      <c r="A1414" s="2296"/>
      <c r="B1414" s="2296"/>
      <c r="C1414" s="2296"/>
      <c r="D1414" s="2296"/>
      <c r="E1414" s="1456"/>
      <c r="R1414" s="1457"/>
      <c r="S1414" s="1457"/>
      <c r="T1414" s="1457"/>
      <c r="U1414" s="1457"/>
      <c r="V1414" s="1457"/>
      <c r="W1414" s="1457"/>
      <c r="X1414" s="1457"/>
      <c r="Y1414" s="1457"/>
    </row>
    <row r="1415" spans="1:25" x14ac:dyDescent="0.2">
      <c r="A1415" s="2296"/>
      <c r="B1415" s="2296"/>
      <c r="C1415" s="2296"/>
      <c r="D1415" s="2296"/>
      <c r="E1415" s="1456"/>
      <c r="R1415" s="1457"/>
      <c r="S1415" s="1457"/>
      <c r="T1415" s="1457"/>
      <c r="U1415" s="1457"/>
      <c r="V1415" s="1457"/>
      <c r="W1415" s="1457"/>
      <c r="X1415" s="1457"/>
      <c r="Y1415" s="1457"/>
    </row>
    <row r="1416" spans="1:25" x14ac:dyDescent="0.2">
      <c r="A1416" s="2296"/>
      <c r="B1416" s="2296"/>
      <c r="C1416" s="2296"/>
      <c r="D1416" s="2296"/>
      <c r="E1416" s="1456"/>
      <c r="R1416" s="1457"/>
      <c r="S1416" s="1457"/>
      <c r="T1416" s="1457"/>
      <c r="U1416" s="1457"/>
      <c r="V1416" s="1457"/>
      <c r="W1416" s="1457"/>
      <c r="X1416" s="1457"/>
      <c r="Y1416" s="1457"/>
    </row>
    <row r="1417" spans="1:25" x14ac:dyDescent="0.2">
      <c r="A1417" s="2296"/>
      <c r="B1417" s="2296"/>
      <c r="C1417" s="2296"/>
      <c r="D1417" s="2296"/>
      <c r="E1417" s="1456"/>
      <c r="R1417" s="1457"/>
      <c r="S1417" s="1457"/>
      <c r="T1417" s="1457"/>
      <c r="U1417" s="1457"/>
      <c r="V1417" s="1457"/>
      <c r="W1417" s="1457"/>
      <c r="X1417" s="1457"/>
      <c r="Y1417" s="1457"/>
    </row>
    <row r="1418" spans="1:25" x14ac:dyDescent="0.2">
      <c r="A1418" s="2296"/>
      <c r="B1418" s="2296"/>
      <c r="C1418" s="2296"/>
      <c r="D1418" s="2296"/>
      <c r="E1418" s="1456"/>
      <c r="R1418" s="1457"/>
      <c r="S1418" s="1457"/>
      <c r="T1418" s="1457"/>
      <c r="U1418" s="1457"/>
      <c r="V1418" s="1457"/>
      <c r="W1418" s="1457"/>
      <c r="X1418" s="1457"/>
      <c r="Y1418" s="1457"/>
    </row>
    <row r="1419" spans="1:25" x14ac:dyDescent="0.2">
      <c r="A1419" s="2296"/>
      <c r="B1419" s="2296"/>
      <c r="C1419" s="2296"/>
      <c r="D1419" s="2296"/>
      <c r="E1419" s="1456"/>
      <c r="R1419" s="1457"/>
      <c r="S1419" s="1457"/>
      <c r="T1419" s="1457"/>
      <c r="U1419" s="1457"/>
      <c r="V1419" s="1457"/>
      <c r="W1419" s="1457"/>
      <c r="X1419" s="1457"/>
      <c r="Y1419" s="1457"/>
    </row>
    <row r="1420" spans="1:25" x14ac:dyDescent="0.2">
      <c r="A1420" s="2296"/>
      <c r="B1420" s="2296"/>
      <c r="C1420" s="2296"/>
      <c r="D1420" s="2296"/>
      <c r="E1420" s="1456"/>
      <c r="R1420" s="1457"/>
      <c r="S1420" s="1457"/>
      <c r="T1420" s="1457"/>
      <c r="U1420" s="1457"/>
      <c r="V1420" s="1457"/>
      <c r="W1420" s="1457"/>
      <c r="X1420" s="1457"/>
      <c r="Y1420" s="1457"/>
    </row>
    <row r="1421" spans="1:25" x14ac:dyDescent="0.2">
      <c r="A1421" s="2296"/>
      <c r="B1421" s="2296"/>
      <c r="C1421" s="2296"/>
      <c r="D1421" s="2296"/>
      <c r="E1421" s="1456"/>
      <c r="R1421" s="1457"/>
      <c r="S1421" s="1457"/>
      <c r="T1421" s="1457"/>
      <c r="U1421" s="1457"/>
      <c r="V1421" s="1457"/>
      <c r="W1421" s="1457"/>
      <c r="X1421" s="1457"/>
      <c r="Y1421" s="1457"/>
    </row>
    <row r="1422" spans="1:25" x14ac:dyDescent="0.2">
      <c r="A1422" s="2296"/>
      <c r="B1422" s="2296"/>
      <c r="C1422" s="2296"/>
      <c r="D1422" s="2296"/>
      <c r="E1422" s="1456"/>
      <c r="R1422" s="1457"/>
      <c r="S1422" s="1457"/>
      <c r="T1422" s="1457"/>
      <c r="U1422" s="1457"/>
      <c r="V1422" s="1457"/>
      <c r="W1422" s="1457"/>
      <c r="X1422" s="1457"/>
      <c r="Y1422" s="1457"/>
    </row>
    <row r="1423" spans="1:25" x14ac:dyDescent="0.2">
      <c r="A1423" s="2296"/>
      <c r="B1423" s="2296"/>
      <c r="C1423" s="2296"/>
      <c r="D1423" s="2296"/>
      <c r="E1423" s="1456"/>
      <c r="R1423" s="1457"/>
      <c r="S1423" s="1457"/>
      <c r="T1423" s="1457"/>
      <c r="U1423" s="1457"/>
      <c r="V1423" s="1457"/>
      <c r="W1423" s="1457"/>
      <c r="X1423" s="1457"/>
      <c r="Y1423" s="1457"/>
    </row>
    <row r="1424" spans="1:25" x14ac:dyDescent="0.2">
      <c r="A1424" s="2296"/>
      <c r="B1424" s="2296"/>
      <c r="C1424" s="2296"/>
      <c r="D1424" s="2296"/>
      <c r="E1424" s="1456"/>
      <c r="R1424" s="1457"/>
      <c r="S1424" s="1457"/>
      <c r="T1424" s="1457"/>
      <c r="U1424" s="1457"/>
      <c r="V1424" s="1457"/>
      <c r="W1424" s="1457"/>
      <c r="X1424" s="1457"/>
      <c r="Y1424" s="1457"/>
    </row>
    <row r="1425" spans="1:25" x14ac:dyDescent="0.2">
      <c r="A1425" s="2296"/>
      <c r="B1425" s="2296"/>
      <c r="C1425" s="2296"/>
      <c r="D1425" s="2296"/>
      <c r="E1425" s="1456"/>
      <c r="R1425" s="1457"/>
      <c r="S1425" s="1457"/>
      <c r="T1425" s="1457"/>
      <c r="U1425" s="1457"/>
      <c r="V1425" s="1457"/>
      <c r="W1425" s="1457"/>
      <c r="X1425" s="1457"/>
      <c r="Y1425" s="1457"/>
    </row>
    <row r="1426" spans="1:25" x14ac:dyDescent="0.2">
      <c r="A1426" s="2296"/>
      <c r="B1426" s="2296"/>
      <c r="C1426" s="2296"/>
      <c r="D1426" s="2296"/>
      <c r="E1426" s="1456"/>
      <c r="R1426" s="1457"/>
      <c r="S1426" s="1457"/>
      <c r="T1426" s="1457"/>
      <c r="U1426" s="1457"/>
      <c r="V1426" s="1457"/>
      <c r="W1426" s="1457"/>
      <c r="X1426" s="1457"/>
      <c r="Y1426" s="1457"/>
    </row>
    <row r="1427" spans="1:25" x14ac:dyDescent="0.2">
      <c r="A1427" s="2296"/>
      <c r="B1427" s="2296"/>
      <c r="C1427" s="2296"/>
      <c r="D1427" s="2296"/>
      <c r="E1427" s="1456"/>
      <c r="R1427" s="1457"/>
      <c r="S1427" s="1457"/>
      <c r="T1427" s="1457"/>
      <c r="U1427" s="1457"/>
      <c r="V1427" s="1457"/>
      <c r="W1427" s="1457"/>
      <c r="X1427" s="1457"/>
      <c r="Y1427" s="1457"/>
    </row>
    <row r="1428" spans="1:25" x14ac:dyDescent="0.2">
      <c r="A1428" s="2296"/>
      <c r="B1428" s="2296"/>
      <c r="C1428" s="2296"/>
      <c r="D1428" s="2296"/>
      <c r="E1428" s="1456"/>
      <c r="R1428" s="1457"/>
      <c r="S1428" s="1457"/>
      <c r="T1428" s="1457"/>
      <c r="U1428" s="1457"/>
      <c r="V1428" s="1457"/>
      <c r="W1428" s="1457"/>
      <c r="X1428" s="1457"/>
      <c r="Y1428" s="1457"/>
    </row>
    <row r="1429" spans="1:25" x14ac:dyDescent="0.2">
      <c r="A1429" s="2296"/>
      <c r="B1429" s="2296"/>
      <c r="C1429" s="2296"/>
      <c r="D1429" s="2296"/>
      <c r="E1429" s="1456"/>
      <c r="R1429" s="1457"/>
      <c r="S1429" s="1457"/>
      <c r="T1429" s="1457"/>
      <c r="U1429" s="1457"/>
      <c r="V1429" s="1457"/>
      <c r="W1429" s="1457"/>
      <c r="X1429" s="1457"/>
      <c r="Y1429" s="1457"/>
    </row>
    <row r="1430" spans="1:25" x14ac:dyDescent="0.2">
      <c r="A1430" s="2296"/>
      <c r="B1430" s="2296"/>
      <c r="C1430" s="2296"/>
      <c r="D1430" s="2296"/>
      <c r="E1430" s="1456"/>
      <c r="R1430" s="1457"/>
      <c r="S1430" s="1457"/>
      <c r="T1430" s="1457"/>
      <c r="U1430" s="1457"/>
      <c r="V1430" s="1457"/>
      <c r="W1430" s="1457"/>
      <c r="X1430" s="1457"/>
      <c r="Y1430" s="1457"/>
    </row>
    <row r="1431" spans="1:25" x14ac:dyDescent="0.2">
      <c r="A1431" s="2296"/>
      <c r="B1431" s="2296"/>
      <c r="C1431" s="2296"/>
      <c r="D1431" s="2296"/>
      <c r="E1431" s="1456"/>
      <c r="R1431" s="1457"/>
      <c r="S1431" s="1457"/>
      <c r="T1431" s="1457"/>
      <c r="U1431" s="1457"/>
      <c r="V1431" s="1457"/>
      <c r="W1431" s="1457"/>
      <c r="X1431" s="1457"/>
      <c r="Y1431" s="1457"/>
    </row>
    <row r="1432" spans="1:25" x14ac:dyDescent="0.2">
      <c r="A1432" s="2296"/>
      <c r="B1432" s="2296"/>
      <c r="C1432" s="2296"/>
      <c r="D1432" s="2296"/>
      <c r="E1432" s="1456"/>
      <c r="R1432" s="1457"/>
      <c r="S1432" s="1457"/>
      <c r="T1432" s="1457"/>
      <c r="U1432" s="1457"/>
      <c r="V1432" s="1457"/>
      <c r="W1432" s="1457"/>
      <c r="X1432" s="1457"/>
      <c r="Y1432" s="1457"/>
    </row>
    <row r="1433" spans="1:25" x14ac:dyDescent="0.2">
      <c r="A1433" s="2296"/>
      <c r="B1433" s="2296"/>
      <c r="C1433" s="2296"/>
      <c r="D1433" s="2296"/>
      <c r="E1433" s="1456"/>
      <c r="R1433" s="1457"/>
      <c r="S1433" s="1457"/>
      <c r="T1433" s="1457"/>
      <c r="U1433" s="1457"/>
      <c r="V1433" s="1457"/>
      <c r="W1433" s="1457"/>
      <c r="X1433" s="1457"/>
      <c r="Y1433" s="1457"/>
    </row>
    <row r="1434" spans="1:25" x14ac:dyDescent="0.2">
      <c r="A1434" s="2296"/>
      <c r="B1434" s="2296"/>
      <c r="C1434" s="2296"/>
      <c r="D1434" s="2296"/>
      <c r="E1434" s="1456"/>
      <c r="R1434" s="1457"/>
      <c r="S1434" s="1457"/>
      <c r="T1434" s="1457"/>
      <c r="U1434" s="1457"/>
      <c r="V1434" s="1457"/>
      <c r="W1434" s="1457"/>
      <c r="X1434" s="1457"/>
      <c r="Y1434" s="1457"/>
    </row>
    <row r="1435" spans="1:25" x14ac:dyDescent="0.2">
      <c r="A1435" s="2296"/>
      <c r="B1435" s="2296"/>
      <c r="C1435" s="2296"/>
      <c r="D1435" s="2296"/>
      <c r="E1435" s="1456"/>
      <c r="R1435" s="1457"/>
      <c r="S1435" s="1457"/>
      <c r="T1435" s="1457"/>
      <c r="U1435" s="1457"/>
      <c r="V1435" s="1457"/>
      <c r="W1435" s="1457"/>
      <c r="X1435" s="1457"/>
      <c r="Y1435" s="1457"/>
    </row>
    <row r="1436" spans="1:25" x14ac:dyDescent="0.2">
      <c r="A1436" s="2296"/>
      <c r="B1436" s="2296"/>
      <c r="C1436" s="2296"/>
      <c r="D1436" s="2296"/>
      <c r="E1436" s="1456"/>
      <c r="R1436" s="1457"/>
      <c r="S1436" s="1457"/>
      <c r="T1436" s="1457"/>
      <c r="U1436" s="1457"/>
      <c r="V1436" s="1457"/>
      <c r="W1436" s="1457"/>
      <c r="X1436" s="1457"/>
      <c r="Y1436" s="1457"/>
    </row>
    <row r="1437" spans="1:25" x14ac:dyDescent="0.2">
      <c r="A1437" s="2296"/>
      <c r="B1437" s="2296"/>
      <c r="C1437" s="2296"/>
      <c r="D1437" s="2296"/>
      <c r="E1437" s="1456"/>
      <c r="R1437" s="1457"/>
      <c r="S1437" s="1457"/>
      <c r="T1437" s="1457"/>
      <c r="U1437" s="1457"/>
      <c r="V1437" s="1457"/>
      <c r="W1437" s="1457"/>
      <c r="X1437" s="1457"/>
      <c r="Y1437" s="1457"/>
    </row>
    <row r="1438" spans="1:25" x14ac:dyDescent="0.2">
      <c r="A1438" s="2296"/>
      <c r="B1438" s="2296"/>
      <c r="C1438" s="2296"/>
      <c r="D1438" s="2296"/>
      <c r="E1438" s="1456"/>
      <c r="R1438" s="1457"/>
      <c r="S1438" s="1457"/>
      <c r="T1438" s="1457"/>
      <c r="U1438" s="1457"/>
      <c r="V1438" s="1457"/>
      <c r="W1438" s="1457"/>
      <c r="X1438" s="1457"/>
      <c r="Y1438" s="1457"/>
    </row>
    <row r="1439" spans="1:25" x14ac:dyDescent="0.2">
      <c r="A1439" s="2296"/>
      <c r="B1439" s="2296"/>
      <c r="C1439" s="2296"/>
      <c r="D1439" s="2296"/>
      <c r="E1439" s="1456"/>
      <c r="R1439" s="1457"/>
      <c r="S1439" s="1457"/>
      <c r="T1439" s="1457"/>
      <c r="U1439" s="1457"/>
      <c r="V1439" s="1457"/>
      <c r="W1439" s="1457"/>
      <c r="X1439" s="1457"/>
      <c r="Y1439" s="1457"/>
    </row>
    <row r="1440" spans="1:25" x14ac:dyDescent="0.2">
      <c r="A1440" s="2296"/>
      <c r="B1440" s="2296"/>
      <c r="C1440" s="2296"/>
      <c r="D1440" s="2296"/>
      <c r="E1440" s="1456"/>
      <c r="R1440" s="1457"/>
      <c r="S1440" s="1457"/>
      <c r="T1440" s="1457"/>
      <c r="U1440" s="1457"/>
      <c r="V1440" s="1457"/>
      <c r="W1440" s="1457"/>
      <c r="X1440" s="1457"/>
      <c r="Y1440" s="1457"/>
    </row>
    <row r="1441" spans="1:25" x14ac:dyDescent="0.2">
      <c r="A1441" s="2296"/>
      <c r="B1441" s="2296"/>
      <c r="C1441" s="2296"/>
      <c r="D1441" s="2296"/>
      <c r="E1441" s="1456"/>
      <c r="R1441" s="1457"/>
      <c r="S1441" s="1457"/>
      <c r="T1441" s="1457"/>
      <c r="U1441" s="1457"/>
      <c r="V1441" s="1457"/>
      <c r="W1441" s="1457"/>
      <c r="X1441" s="1457"/>
      <c r="Y1441" s="1457"/>
    </row>
    <row r="1442" spans="1:25" x14ac:dyDescent="0.2">
      <c r="A1442" s="2296"/>
      <c r="B1442" s="2296"/>
      <c r="C1442" s="2296"/>
      <c r="D1442" s="2296"/>
      <c r="E1442" s="1456"/>
      <c r="R1442" s="1457"/>
      <c r="S1442" s="1457"/>
      <c r="T1442" s="1457"/>
      <c r="U1442" s="1457"/>
      <c r="V1442" s="1457"/>
      <c r="W1442" s="1457"/>
      <c r="X1442" s="1457"/>
      <c r="Y1442" s="1457"/>
    </row>
    <row r="1443" spans="1:25" x14ac:dyDescent="0.2">
      <c r="A1443" s="2296"/>
      <c r="B1443" s="2296"/>
      <c r="C1443" s="2296"/>
      <c r="D1443" s="2296"/>
      <c r="E1443" s="1456"/>
      <c r="R1443" s="1457"/>
      <c r="S1443" s="1457"/>
      <c r="T1443" s="1457"/>
      <c r="U1443" s="1457"/>
      <c r="V1443" s="1457"/>
      <c r="W1443" s="1457"/>
      <c r="X1443" s="1457"/>
      <c r="Y1443" s="1457"/>
    </row>
    <row r="1444" spans="1:25" x14ac:dyDescent="0.2">
      <c r="A1444" s="2296"/>
      <c r="B1444" s="2296"/>
      <c r="C1444" s="2296"/>
      <c r="D1444" s="2296"/>
      <c r="E1444" s="1456"/>
      <c r="R1444" s="1457"/>
      <c r="S1444" s="1457"/>
      <c r="T1444" s="1457"/>
      <c r="U1444" s="1457"/>
      <c r="V1444" s="1457"/>
      <c r="W1444" s="1457"/>
      <c r="X1444" s="1457"/>
      <c r="Y1444" s="1457"/>
    </row>
    <row r="1445" spans="1:25" x14ac:dyDescent="0.2">
      <c r="A1445" s="2296"/>
      <c r="B1445" s="2296"/>
      <c r="C1445" s="2296"/>
      <c r="D1445" s="2296"/>
      <c r="E1445" s="1456"/>
      <c r="R1445" s="1457"/>
      <c r="S1445" s="1457"/>
      <c r="T1445" s="1457"/>
      <c r="U1445" s="1457"/>
      <c r="V1445" s="1457"/>
      <c r="W1445" s="1457"/>
      <c r="X1445" s="1457"/>
      <c r="Y1445" s="1457"/>
    </row>
    <row r="1446" spans="1:25" x14ac:dyDescent="0.2">
      <c r="A1446" s="2296"/>
      <c r="B1446" s="2296"/>
      <c r="C1446" s="2296"/>
      <c r="D1446" s="2296"/>
      <c r="E1446" s="1456"/>
      <c r="R1446" s="1457"/>
      <c r="S1446" s="1457"/>
      <c r="T1446" s="1457"/>
      <c r="U1446" s="1457"/>
      <c r="V1446" s="1457"/>
      <c r="W1446" s="1457"/>
      <c r="X1446" s="1457"/>
      <c r="Y1446" s="1457"/>
    </row>
    <row r="1447" spans="1:25" x14ac:dyDescent="0.2">
      <c r="A1447" s="2296"/>
      <c r="B1447" s="2296"/>
      <c r="C1447" s="2296"/>
      <c r="D1447" s="2296"/>
      <c r="E1447" s="1456"/>
      <c r="R1447" s="1457"/>
      <c r="S1447" s="1457"/>
      <c r="T1447" s="1457"/>
      <c r="U1447" s="1457"/>
      <c r="V1447" s="1457"/>
      <c r="W1447" s="1457"/>
      <c r="X1447" s="1457"/>
      <c r="Y1447" s="1457"/>
    </row>
    <row r="1448" spans="1:25" x14ac:dyDescent="0.2">
      <c r="A1448" s="2296"/>
      <c r="B1448" s="2296"/>
      <c r="C1448" s="2296"/>
      <c r="D1448" s="2296"/>
      <c r="E1448" s="1456"/>
      <c r="R1448" s="1457"/>
      <c r="S1448" s="1457"/>
      <c r="T1448" s="1457"/>
      <c r="U1448" s="1457"/>
      <c r="V1448" s="1457"/>
      <c r="W1448" s="1457"/>
      <c r="X1448" s="1457"/>
      <c r="Y1448" s="1457"/>
    </row>
    <row r="1449" spans="1:25" x14ac:dyDescent="0.2">
      <c r="A1449" s="2296"/>
      <c r="B1449" s="2296"/>
      <c r="C1449" s="2296"/>
      <c r="D1449" s="2296"/>
      <c r="E1449" s="1456"/>
      <c r="R1449" s="1457"/>
      <c r="S1449" s="1457"/>
      <c r="T1449" s="1457"/>
      <c r="U1449" s="1457"/>
      <c r="V1449" s="1457"/>
      <c r="W1449" s="1457"/>
      <c r="X1449" s="1457"/>
      <c r="Y1449" s="1457"/>
    </row>
    <row r="1450" spans="1:25" x14ac:dyDescent="0.2">
      <c r="A1450" s="2296"/>
      <c r="B1450" s="2296"/>
      <c r="C1450" s="2296"/>
      <c r="D1450" s="2296"/>
      <c r="E1450" s="1456"/>
      <c r="R1450" s="1457"/>
      <c r="S1450" s="1457"/>
      <c r="T1450" s="1457"/>
      <c r="U1450" s="1457"/>
      <c r="V1450" s="1457"/>
      <c r="W1450" s="1457"/>
      <c r="X1450" s="1457"/>
      <c r="Y1450" s="1457"/>
    </row>
    <row r="1451" spans="1:25" x14ac:dyDescent="0.2">
      <c r="A1451" s="2296"/>
      <c r="B1451" s="2296"/>
      <c r="C1451" s="2296"/>
      <c r="D1451" s="2296"/>
      <c r="E1451" s="1456"/>
      <c r="R1451" s="1457"/>
      <c r="S1451" s="1457"/>
      <c r="T1451" s="1457"/>
      <c r="U1451" s="1457"/>
      <c r="V1451" s="1457"/>
      <c r="W1451" s="1457"/>
      <c r="X1451" s="1457"/>
      <c r="Y1451" s="1457"/>
    </row>
    <row r="1452" spans="1:25" x14ac:dyDescent="0.2">
      <c r="A1452" s="2296"/>
      <c r="B1452" s="2296"/>
      <c r="C1452" s="2296"/>
      <c r="D1452" s="2296"/>
      <c r="E1452" s="1456"/>
      <c r="R1452" s="1457"/>
      <c r="S1452" s="1457"/>
      <c r="T1452" s="1457"/>
      <c r="U1452" s="1457"/>
      <c r="V1452" s="1457"/>
      <c r="W1452" s="1457"/>
      <c r="X1452" s="1457"/>
      <c r="Y1452" s="1457"/>
    </row>
    <row r="1453" spans="1:25" x14ac:dyDescent="0.2">
      <c r="A1453" s="2296"/>
      <c r="B1453" s="2296"/>
      <c r="C1453" s="2296"/>
      <c r="D1453" s="2296"/>
      <c r="E1453" s="1456"/>
      <c r="R1453" s="1457"/>
      <c r="S1453" s="1457"/>
      <c r="T1453" s="1457"/>
      <c r="U1453" s="1457"/>
      <c r="V1453" s="1457"/>
      <c r="W1453" s="1457"/>
      <c r="X1453" s="1457"/>
      <c r="Y1453" s="1457"/>
    </row>
    <row r="1454" spans="1:25" x14ac:dyDescent="0.2">
      <c r="A1454" s="2296"/>
      <c r="B1454" s="2296"/>
      <c r="C1454" s="2296"/>
      <c r="D1454" s="2296"/>
      <c r="E1454" s="1456"/>
      <c r="R1454" s="1457"/>
      <c r="S1454" s="1457"/>
      <c r="T1454" s="1457"/>
      <c r="U1454" s="1457"/>
      <c r="V1454" s="1457"/>
      <c r="W1454" s="1457"/>
      <c r="X1454" s="1457"/>
      <c r="Y1454" s="1457"/>
    </row>
    <row r="1455" spans="1:25" x14ac:dyDescent="0.2">
      <c r="A1455" s="2296"/>
      <c r="B1455" s="2296"/>
      <c r="C1455" s="2296"/>
      <c r="D1455" s="2296"/>
      <c r="E1455" s="1456"/>
      <c r="R1455" s="1457"/>
      <c r="S1455" s="1457"/>
      <c r="T1455" s="1457"/>
      <c r="U1455" s="1457"/>
      <c r="V1455" s="1457"/>
      <c r="W1455" s="1457"/>
      <c r="X1455" s="1457"/>
      <c r="Y1455" s="1457"/>
    </row>
    <row r="1456" spans="1:25" x14ac:dyDescent="0.2">
      <c r="A1456" s="2296"/>
      <c r="B1456" s="2296"/>
      <c r="C1456" s="2296"/>
      <c r="D1456" s="2296"/>
      <c r="E1456" s="1456"/>
      <c r="R1456" s="1457"/>
      <c r="S1456" s="1457"/>
      <c r="T1456" s="1457"/>
      <c r="U1456" s="1457"/>
      <c r="V1456" s="1457"/>
      <c r="W1456" s="1457"/>
      <c r="X1456" s="1457"/>
      <c r="Y1456" s="1457"/>
    </row>
    <row r="1457" spans="1:25" x14ac:dyDescent="0.2">
      <c r="A1457" s="2296"/>
      <c r="B1457" s="2296"/>
      <c r="C1457" s="2296"/>
      <c r="D1457" s="2296"/>
      <c r="E1457" s="1456"/>
      <c r="R1457" s="1457"/>
      <c r="S1457" s="1457"/>
      <c r="T1457" s="1457"/>
      <c r="U1457" s="1457"/>
      <c r="V1457" s="1457"/>
      <c r="W1457" s="1457"/>
      <c r="X1457" s="1457"/>
      <c r="Y1457" s="1457"/>
    </row>
    <row r="1458" spans="1:25" x14ac:dyDescent="0.2">
      <c r="A1458" s="2296"/>
      <c r="B1458" s="2296"/>
      <c r="C1458" s="2296"/>
      <c r="D1458" s="2296"/>
      <c r="E1458" s="1456"/>
      <c r="R1458" s="1457"/>
      <c r="S1458" s="1457"/>
      <c r="T1458" s="1457"/>
      <c r="U1458" s="1457"/>
      <c r="V1458" s="1457"/>
      <c r="W1458" s="1457"/>
      <c r="X1458" s="1457"/>
      <c r="Y1458" s="1457"/>
    </row>
    <row r="1459" spans="1:25" x14ac:dyDescent="0.2">
      <c r="A1459" s="2296"/>
      <c r="B1459" s="2296"/>
      <c r="C1459" s="2296"/>
      <c r="D1459" s="2296"/>
      <c r="E1459" s="1456"/>
      <c r="R1459" s="1457"/>
      <c r="S1459" s="1457"/>
      <c r="T1459" s="1457"/>
      <c r="U1459" s="1457"/>
      <c r="V1459" s="1457"/>
      <c r="W1459" s="1457"/>
      <c r="X1459" s="1457"/>
      <c r="Y1459" s="1457"/>
    </row>
    <row r="1460" spans="1:25" x14ac:dyDescent="0.2">
      <c r="A1460" s="2296"/>
      <c r="B1460" s="2296"/>
      <c r="C1460" s="2296"/>
      <c r="D1460" s="2296"/>
      <c r="E1460" s="1456"/>
      <c r="R1460" s="1457"/>
      <c r="S1460" s="1457"/>
      <c r="T1460" s="1457"/>
      <c r="U1460" s="1457"/>
      <c r="V1460" s="1457"/>
      <c r="W1460" s="1457"/>
      <c r="X1460" s="1457"/>
      <c r="Y1460" s="1457"/>
    </row>
    <row r="1461" spans="1:25" x14ac:dyDescent="0.2">
      <c r="A1461" s="2296"/>
      <c r="B1461" s="2296"/>
      <c r="C1461" s="2296"/>
      <c r="D1461" s="2296"/>
      <c r="E1461" s="1456"/>
      <c r="R1461" s="1457"/>
      <c r="S1461" s="1457"/>
      <c r="T1461" s="1457"/>
      <c r="U1461" s="1457"/>
      <c r="V1461" s="1457"/>
      <c r="W1461" s="1457"/>
      <c r="X1461" s="1457"/>
      <c r="Y1461" s="1457"/>
    </row>
    <row r="1462" spans="1:25" x14ac:dyDescent="0.2">
      <c r="A1462" s="2296"/>
      <c r="B1462" s="2296"/>
      <c r="C1462" s="2296"/>
      <c r="D1462" s="2296"/>
      <c r="E1462" s="1456"/>
      <c r="R1462" s="1457"/>
      <c r="S1462" s="1457"/>
      <c r="T1462" s="1457"/>
      <c r="U1462" s="1457"/>
      <c r="V1462" s="1457"/>
      <c r="W1462" s="1457"/>
      <c r="X1462" s="1457"/>
      <c r="Y1462" s="1457"/>
    </row>
    <row r="1463" spans="1:25" x14ac:dyDescent="0.2">
      <c r="A1463" s="2296"/>
      <c r="B1463" s="2296"/>
      <c r="C1463" s="2296"/>
      <c r="D1463" s="2296"/>
      <c r="E1463" s="1456"/>
      <c r="R1463" s="1457"/>
      <c r="S1463" s="1457"/>
      <c r="T1463" s="1457"/>
      <c r="U1463" s="1457"/>
      <c r="V1463" s="1457"/>
      <c r="W1463" s="1457"/>
      <c r="X1463" s="1457"/>
      <c r="Y1463" s="1457"/>
    </row>
    <row r="1464" spans="1:25" x14ac:dyDescent="0.2">
      <c r="A1464" s="2296"/>
      <c r="B1464" s="2296"/>
      <c r="C1464" s="2296"/>
      <c r="D1464" s="2296"/>
      <c r="E1464" s="1456"/>
      <c r="R1464" s="1457"/>
      <c r="S1464" s="1457"/>
      <c r="T1464" s="1457"/>
      <c r="U1464" s="1457"/>
      <c r="V1464" s="1457"/>
      <c r="W1464" s="1457"/>
      <c r="X1464" s="1457"/>
      <c r="Y1464" s="1457"/>
    </row>
    <row r="1465" spans="1:25" x14ac:dyDescent="0.2">
      <c r="A1465" s="2296"/>
      <c r="B1465" s="2296"/>
      <c r="C1465" s="2296"/>
      <c r="D1465" s="2296"/>
      <c r="E1465" s="1456"/>
      <c r="R1465" s="1457"/>
      <c r="S1465" s="1457"/>
      <c r="T1465" s="1457"/>
      <c r="U1465" s="1457"/>
      <c r="V1465" s="1457"/>
      <c r="W1465" s="1457"/>
      <c r="X1465" s="1457"/>
      <c r="Y1465" s="1457"/>
    </row>
    <row r="1466" spans="1:25" x14ac:dyDescent="0.2">
      <c r="A1466" s="2296"/>
      <c r="B1466" s="2296"/>
      <c r="C1466" s="2296"/>
      <c r="D1466" s="2296"/>
      <c r="E1466" s="1456"/>
      <c r="R1466" s="1457"/>
      <c r="S1466" s="1457"/>
      <c r="T1466" s="1457"/>
      <c r="U1466" s="1457"/>
      <c r="V1466" s="1457"/>
      <c r="W1466" s="1457"/>
      <c r="X1466" s="1457"/>
      <c r="Y1466" s="1457"/>
    </row>
    <row r="1467" spans="1:25" x14ac:dyDescent="0.2">
      <c r="A1467" s="2296"/>
      <c r="B1467" s="2296"/>
      <c r="C1467" s="2296"/>
      <c r="D1467" s="2296"/>
      <c r="E1467" s="1456"/>
      <c r="R1467" s="1457"/>
      <c r="S1467" s="1457"/>
      <c r="T1467" s="1457"/>
      <c r="U1467" s="1457"/>
      <c r="V1467" s="1457"/>
      <c r="W1467" s="1457"/>
      <c r="X1467" s="1457"/>
      <c r="Y1467" s="1457"/>
    </row>
    <row r="1468" spans="1:25" x14ac:dyDescent="0.2">
      <c r="A1468" s="2296"/>
      <c r="B1468" s="2296"/>
      <c r="C1468" s="2296"/>
      <c r="D1468" s="2296"/>
      <c r="E1468" s="1456"/>
      <c r="R1468" s="1457"/>
      <c r="S1468" s="1457"/>
      <c r="T1468" s="1457"/>
      <c r="U1468" s="1457"/>
      <c r="V1468" s="1457"/>
      <c r="W1468" s="1457"/>
      <c r="X1468" s="1457"/>
      <c r="Y1468" s="1457"/>
    </row>
    <row r="1469" spans="1:25" x14ac:dyDescent="0.2">
      <c r="A1469" s="2296"/>
      <c r="B1469" s="2296"/>
      <c r="C1469" s="2296"/>
      <c r="D1469" s="2296"/>
      <c r="E1469" s="1456"/>
      <c r="R1469" s="1457"/>
      <c r="S1469" s="1457"/>
      <c r="T1469" s="1457"/>
      <c r="U1469" s="1457"/>
      <c r="V1469" s="1457"/>
      <c r="W1469" s="1457"/>
      <c r="X1469" s="1457"/>
      <c r="Y1469" s="1457"/>
    </row>
    <row r="1470" spans="1:25" x14ac:dyDescent="0.2">
      <c r="A1470" s="2296"/>
      <c r="B1470" s="2296"/>
      <c r="C1470" s="2296"/>
      <c r="D1470" s="2296"/>
      <c r="E1470" s="1456"/>
      <c r="R1470" s="1457"/>
      <c r="S1470" s="1457"/>
      <c r="T1470" s="1457"/>
      <c r="U1470" s="1457"/>
      <c r="V1470" s="1457"/>
      <c r="W1470" s="1457"/>
      <c r="X1470" s="1457"/>
      <c r="Y1470" s="1457"/>
    </row>
    <row r="1471" spans="1:25" x14ac:dyDescent="0.2">
      <c r="A1471" s="2296"/>
      <c r="B1471" s="2296"/>
      <c r="C1471" s="2296"/>
      <c r="D1471" s="2296"/>
      <c r="E1471" s="1456"/>
      <c r="R1471" s="1457"/>
      <c r="S1471" s="1457"/>
      <c r="T1471" s="1457"/>
      <c r="U1471" s="1457"/>
      <c r="V1471" s="1457"/>
      <c r="W1471" s="1457"/>
      <c r="X1471" s="1457"/>
      <c r="Y1471" s="1457"/>
    </row>
    <row r="1472" spans="1:25" x14ac:dyDescent="0.2">
      <c r="A1472" s="2296"/>
      <c r="B1472" s="2296"/>
      <c r="C1472" s="2296"/>
      <c r="D1472" s="2296"/>
      <c r="E1472" s="1456"/>
      <c r="R1472" s="1457"/>
      <c r="S1472" s="1457"/>
      <c r="T1472" s="1457"/>
      <c r="U1472" s="1457"/>
      <c r="V1472" s="1457"/>
      <c r="W1472" s="1457"/>
      <c r="X1472" s="1457"/>
      <c r="Y1472" s="1457"/>
    </row>
    <row r="1473" spans="1:25" x14ac:dyDescent="0.2">
      <c r="A1473" s="2296"/>
      <c r="B1473" s="2296"/>
      <c r="C1473" s="2296"/>
      <c r="D1473" s="2296"/>
      <c r="E1473" s="1456"/>
      <c r="R1473" s="1457"/>
      <c r="S1473" s="1457"/>
      <c r="T1473" s="1457"/>
      <c r="U1473" s="1457"/>
      <c r="V1473" s="1457"/>
      <c r="W1473" s="1457"/>
      <c r="X1473" s="1457"/>
      <c r="Y1473" s="1457"/>
    </row>
    <row r="1474" spans="1:25" x14ac:dyDescent="0.2">
      <c r="A1474" s="2296"/>
      <c r="B1474" s="2296"/>
      <c r="C1474" s="2296"/>
      <c r="D1474" s="2296"/>
      <c r="E1474" s="1456"/>
      <c r="R1474" s="1457"/>
      <c r="S1474" s="1457"/>
      <c r="T1474" s="1457"/>
      <c r="U1474" s="1457"/>
      <c r="V1474" s="1457"/>
      <c r="W1474" s="1457"/>
      <c r="X1474" s="1457"/>
      <c r="Y1474" s="1457"/>
    </row>
    <row r="1475" spans="1:25" x14ac:dyDescent="0.2">
      <c r="A1475" s="2296"/>
      <c r="B1475" s="2296"/>
      <c r="C1475" s="2296"/>
      <c r="D1475" s="2296"/>
      <c r="E1475" s="1456"/>
      <c r="R1475" s="1457"/>
      <c r="S1475" s="1457"/>
      <c r="T1475" s="1457"/>
      <c r="U1475" s="1457"/>
      <c r="V1475" s="1457"/>
      <c r="W1475" s="1457"/>
      <c r="X1475" s="1457"/>
      <c r="Y1475" s="1457"/>
    </row>
    <row r="1476" spans="1:25" x14ac:dyDescent="0.2">
      <c r="A1476" s="2296"/>
      <c r="B1476" s="2296"/>
      <c r="C1476" s="2296"/>
      <c r="D1476" s="2296"/>
      <c r="E1476" s="1456"/>
      <c r="R1476" s="1457"/>
      <c r="S1476" s="1457"/>
      <c r="T1476" s="1457"/>
      <c r="U1476" s="1457"/>
      <c r="V1476" s="1457"/>
      <c r="W1476" s="1457"/>
      <c r="X1476" s="1457"/>
      <c r="Y1476" s="1457"/>
    </row>
    <row r="1477" spans="1:25" x14ac:dyDescent="0.2">
      <c r="A1477" s="2296"/>
      <c r="B1477" s="2296"/>
      <c r="C1477" s="2296"/>
      <c r="D1477" s="2296"/>
      <c r="E1477" s="1456"/>
      <c r="R1477" s="1457"/>
      <c r="S1477" s="1457"/>
      <c r="T1477" s="1457"/>
      <c r="U1477" s="1457"/>
      <c r="V1477" s="1457"/>
      <c r="W1477" s="1457"/>
      <c r="X1477" s="1457"/>
      <c r="Y1477" s="1457"/>
    </row>
    <row r="1478" spans="1:25" x14ac:dyDescent="0.2">
      <c r="A1478" s="2296"/>
      <c r="B1478" s="2296"/>
      <c r="C1478" s="2296"/>
      <c r="D1478" s="2296"/>
      <c r="E1478" s="1456"/>
      <c r="R1478" s="1457"/>
      <c r="S1478" s="1457"/>
      <c r="T1478" s="1457"/>
      <c r="U1478" s="1457"/>
      <c r="V1478" s="1457"/>
      <c r="W1478" s="1457"/>
      <c r="X1478" s="1457"/>
      <c r="Y1478" s="1457"/>
    </row>
    <row r="1479" spans="1:25" x14ac:dyDescent="0.2">
      <c r="A1479" s="2296"/>
      <c r="B1479" s="2296"/>
      <c r="C1479" s="2296"/>
      <c r="D1479" s="2296"/>
      <c r="E1479" s="1456"/>
      <c r="R1479" s="1457"/>
      <c r="S1479" s="1457"/>
      <c r="T1479" s="1457"/>
      <c r="U1479" s="1457"/>
      <c r="V1479" s="1457"/>
      <c r="W1479" s="1457"/>
      <c r="X1479" s="1457"/>
      <c r="Y1479" s="1457"/>
    </row>
    <row r="1480" spans="1:25" x14ac:dyDescent="0.2">
      <c r="A1480" s="2296"/>
      <c r="B1480" s="2296"/>
      <c r="C1480" s="2296"/>
      <c r="D1480" s="2296"/>
      <c r="E1480" s="1456"/>
      <c r="R1480" s="1457"/>
      <c r="S1480" s="1457"/>
      <c r="T1480" s="1457"/>
      <c r="U1480" s="1457"/>
      <c r="V1480" s="1457"/>
      <c r="W1480" s="1457"/>
      <c r="X1480" s="1457"/>
      <c r="Y1480" s="1457"/>
    </row>
    <row r="1481" spans="1:25" x14ac:dyDescent="0.2">
      <c r="A1481" s="2296"/>
      <c r="B1481" s="2296"/>
      <c r="C1481" s="2296"/>
      <c r="D1481" s="2296"/>
      <c r="E1481" s="1456"/>
      <c r="R1481" s="1457"/>
      <c r="S1481" s="1457"/>
      <c r="T1481" s="1457"/>
      <c r="U1481" s="1457"/>
      <c r="V1481" s="1457"/>
      <c r="W1481" s="1457"/>
      <c r="X1481" s="1457"/>
      <c r="Y1481" s="1457"/>
    </row>
    <row r="1482" spans="1:25" x14ac:dyDescent="0.2">
      <c r="A1482" s="2296"/>
      <c r="B1482" s="2296"/>
      <c r="C1482" s="2296"/>
      <c r="D1482" s="2296"/>
      <c r="E1482" s="1456"/>
      <c r="R1482" s="1457"/>
      <c r="S1482" s="1457"/>
      <c r="T1482" s="1457"/>
      <c r="U1482" s="1457"/>
      <c r="V1482" s="1457"/>
      <c r="W1482" s="1457"/>
      <c r="X1482" s="1457"/>
      <c r="Y1482" s="1457"/>
    </row>
    <row r="1483" spans="1:25" x14ac:dyDescent="0.2">
      <c r="A1483" s="2296"/>
      <c r="B1483" s="2296"/>
      <c r="C1483" s="2296"/>
      <c r="D1483" s="2296"/>
      <c r="E1483" s="1456"/>
      <c r="R1483" s="1457"/>
      <c r="S1483" s="1457"/>
      <c r="T1483" s="1457"/>
      <c r="U1483" s="1457"/>
      <c r="V1483" s="1457"/>
      <c r="W1483" s="1457"/>
      <c r="X1483" s="1457"/>
      <c r="Y1483" s="1457"/>
    </row>
    <row r="1484" spans="1:25" x14ac:dyDescent="0.2">
      <c r="A1484" s="2296"/>
      <c r="B1484" s="2296"/>
      <c r="C1484" s="2296"/>
      <c r="D1484" s="2296"/>
      <c r="E1484" s="1456"/>
      <c r="R1484" s="1457"/>
      <c r="S1484" s="1457"/>
      <c r="T1484" s="1457"/>
      <c r="U1484" s="1457"/>
      <c r="V1484" s="1457"/>
      <c r="W1484" s="1457"/>
      <c r="X1484" s="1457"/>
      <c r="Y1484" s="1457"/>
    </row>
    <row r="1485" spans="1:25" x14ac:dyDescent="0.2">
      <c r="A1485" s="2296"/>
      <c r="B1485" s="2296"/>
      <c r="C1485" s="2296"/>
      <c r="D1485" s="2296"/>
      <c r="E1485" s="1456"/>
      <c r="R1485" s="1457"/>
      <c r="S1485" s="1457"/>
      <c r="T1485" s="1457"/>
      <c r="U1485" s="1457"/>
      <c r="V1485" s="1457"/>
      <c r="W1485" s="1457"/>
      <c r="X1485" s="1457"/>
      <c r="Y1485" s="1457"/>
    </row>
    <row r="1486" spans="1:25" x14ac:dyDescent="0.2">
      <c r="A1486" s="2296"/>
      <c r="B1486" s="2296"/>
      <c r="C1486" s="2296"/>
      <c r="D1486" s="2296"/>
      <c r="E1486" s="1456"/>
      <c r="R1486" s="1457"/>
      <c r="S1486" s="1457"/>
      <c r="T1486" s="1457"/>
      <c r="U1486" s="1457"/>
      <c r="V1486" s="1457"/>
      <c r="W1486" s="1457"/>
      <c r="X1486" s="1457"/>
      <c r="Y1486" s="1457"/>
    </row>
    <row r="1487" spans="1:25" x14ac:dyDescent="0.2">
      <c r="A1487" s="2296"/>
      <c r="B1487" s="2296"/>
      <c r="C1487" s="2296"/>
      <c r="D1487" s="2296"/>
      <c r="E1487" s="1456"/>
      <c r="R1487" s="1457"/>
      <c r="S1487" s="1457"/>
      <c r="T1487" s="1457"/>
      <c r="U1487" s="1457"/>
      <c r="V1487" s="1457"/>
      <c r="W1487" s="1457"/>
      <c r="X1487" s="1457"/>
      <c r="Y1487" s="1457"/>
    </row>
    <row r="1488" spans="1:25" x14ac:dyDescent="0.2">
      <c r="A1488" s="2296"/>
      <c r="B1488" s="2296"/>
      <c r="C1488" s="2296"/>
      <c r="D1488" s="2296"/>
      <c r="E1488" s="1456"/>
      <c r="R1488" s="1457"/>
      <c r="S1488" s="1457"/>
      <c r="T1488" s="1457"/>
      <c r="U1488" s="1457"/>
      <c r="V1488" s="1457"/>
      <c r="W1488" s="1457"/>
      <c r="X1488" s="1457"/>
      <c r="Y1488" s="1457"/>
    </row>
    <row r="1489" spans="1:25" x14ac:dyDescent="0.2">
      <c r="A1489" s="2296"/>
      <c r="B1489" s="2296"/>
      <c r="C1489" s="2296"/>
      <c r="D1489" s="2296"/>
      <c r="E1489" s="1456"/>
      <c r="R1489" s="1457"/>
      <c r="S1489" s="1457"/>
      <c r="T1489" s="1457"/>
      <c r="U1489" s="1457"/>
      <c r="V1489" s="1457"/>
      <c r="W1489" s="1457"/>
      <c r="X1489" s="1457"/>
      <c r="Y1489" s="1457"/>
    </row>
    <row r="1490" spans="1:25" x14ac:dyDescent="0.2">
      <c r="A1490" s="2296"/>
      <c r="B1490" s="2296"/>
      <c r="C1490" s="2296"/>
      <c r="D1490" s="2296"/>
      <c r="E1490" s="1456"/>
      <c r="R1490" s="1457"/>
      <c r="S1490" s="1457"/>
      <c r="T1490" s="1457"/>
      <c r="U1490" s="1457"/>
      <c r="V1490" s="1457"/>
      <c r="W1490" s="1457"/>
      <c r="X1490" s="1457"/>
      <c r="Y1490" s="1457"/>
    </row>
    <row r="1491" spans="1:25" x14ac:dyDescent="0.2">
      <c r="A1491" s="2296"/>
      <c r="B1491" s="2296"/>
      <c r="C1491" s="2296"/>
      <c r="D1491" s="2296"/>
      <c r="E1491" s="1456"/>
      <c r="R1491" s="1457"/>
      <c r="S1491" s="1457"/>
      <c r="T1491" s="1457"/>
      <c r="U1491" s="1457"/>
      <c r="V1491" s="1457"/>
      <c r="W1491" s="1457"/>
      <c r="X1491" s="1457"/>
      <c r="Y1491" s="1457"/>
    </row>
    <row r="1492" spans="1:25" x14ac:dyDescent="0.2">
      <c r="A1492" s="2296"/>
      <c r="B1492" s="2296"/>
      <c r="C1492" s="2296"/>
      <c r="D1492" s="2296"/>
      <c r="E1492" s="1456"/>
      <c r="R1492" s="1457"/>
      <c r="S1492" s="1457"/>
      <c r="T1492" s="1457"/>
      <c r="U1492" s="1457"/>
      <c r="V1492" s="1457"/>
      <c r="W1492" s="1457"/>
      <c r="X1492" s="1457"/>
      <c r="Y1492" s="1457"/>
    </row>
    <row r="1493" spans="1:25" x14ac:dyDescent="0.2">
      <c r="A1493" s="2296"/>
      <c r="B1493" s="2296"/>
      <c r="C1493" s="2296"/>
      <c r="D1493" s="2296"/>
      <c r="E1493" s="1456"/>
      <c r="R1493" s="1457"/>
      <c r="S1493" s="1457"/>
      <c r="T1493" s="1457"/>
      <c r="U1493" s="1457"/>
      <c r="V1493" s="1457"/>
      <c r="W1493" s="1457"/>
      <c r="X1493" s="1457"/>
      <c r="Y1493" s="1457"/>
    </row>
    <row r="1494" spans="1:25" x14ac:dyDescent="0.2">
      <c r="A1494" s="2296"/>
      <c r="B1494" s="2296"/>
      <c r="C1494" s="2296"/>
      <c r="D1494" s="2296"/>
      <c r="E1494" s="1456"/>
      <c r="R1494" s="1457"/>
      <c r="S1494" s="1457"/>
      <c r="T1494" s="1457"/>
      <c r="U1494" s="1457"/>
      <c r="V1494" s="1457"/>
      <c r="W1494" s="1457"/>
      <c r="X1494" s="1457"/>
      <c r="Y1494" s="1457"/>
    </row>
    <row r="1495" spans="1:25" x14ac:dyDescent="0.2">
      <c r="A1495" s="2296"/>
      <c r="B1495" s="2296"/>
      <c r="C1495" s="2296"/>
      <c r="D1495" s="2296"/>
      <c r="E1495" s="1456"/>
      <c r="R1495" s="1457"/>
      <c r="S1495" s="1457"/>
      <c r="T1495" s="1457"/>
      <c r="U1495" s="1457"/>
      <c r="V1495" s="1457"/>
      <c r="W1495" s="1457"/>
      <c r="X1495" s="1457"/>
      <c r="Y1495" s="1457"/>
    </row>
    <row r="1496" spans="1:25" x14ac:dyDescent="0.2">
      <c r="A1496" s="2296"/>
      <c r="B1496" s="2296"/>
      <c r="C1496" s="2296"/>
      <c r="D1496" s="2296"/>
      <c r="E1496" s="1456"/>
      <c r="R1496" s="1457"/>
      <c r="S1496" s="1457"/>
      <c r="T1496" s="1457"/>
      <c r="U1496" s="1457"/>
      <c r="V1496" s="1457"/>
      <c r="W1496" s="1457"/>
      <c r="X1496" s="1457"/>
      <c r="Y1496" s="1457"/>
    </row>
    <row r="1497" spans="1:25" x14ac:dyDescent="0.2">
      <c r="A1497" s="2296"/>
      <c r="B1497" s="2296"/>
      <c r="C1497" s="2296"/>
      <c r="D1497" s="2296"/>
      <c r="E1497" s="1456"/>
      <c r="R1497" s="1457"/>
      <c r="S1497" s="1457"/>
      <c r="T1497" s="1457"/>
      <c r="U1497" s="1457"/>
      <c r="V1497" s="1457"/>
      <c r="W1497" s="1457"/>
      <c r="X1497" s="1457"/>
      <c r="Y1497" s="1457"/>
    </row>
    <row r="1498" spans="1:25" x14ac:dyDescent="0.2">
      <c r="A1498" s="2296"/>
      <c r="B1498" s="2296"/>
      <c r="C1498" s="2296"/>
      <c r="D1498" s="2296"/>
      <c r="E1498" s="1456"/>
      <c r="R1498" s="1457"/>
      <c r="S1498" s="1457"/>
      <c r="T1498" s="1457"/>
      <c r="U1498" s="1457"/>
      <c r="V1498" s="1457"/>
      <c r="W1498" s="1457"/>
      <c r="X1498" s="1457"/>
      <c r="Y1498" s="1457"/>
    </row>
    <row r="1499" spans="1:25" x14ac:dyDescent="0.2">
      <c r="A1499" s="2296"/>
      <c r="B1499" s="2296"/>
      <c r="C1499" s="2296"/>
      <c r="D1499" s="2296"/>
      <c r="E1499" s="1456"/>
      <c r="R1499" s="1457"/>
      <c r="S1499" s="1457"/>
      <c r="T1499" s="1457"/>
      <c r="U1499" s="1457"/>
      <c r="V1499" s="1457"/>
      <c r="W1499" s="1457"/>
      <c r="X1499" s="1457"/>
      <c r="Y1499" s="1457"/>
    </row>
    <row r="1500" spans="1:25" x14ac:dyDescent="0.2">
      <c r="A1500" s="2296"/>
      <c r="B1500" s="2296"/>
      <c r="C1500" s="2296"/>
      <c r="D1500" s="2296"/>
      <c r="E1500" s="1456"/>
      <c r="R1500" s="1457"/>
      <c r="S1500" s="1457"/>
      <c r="T1500" s="1457"/>
      <c r="U1500" s="1457"/>
      <c r="V1500" s="1457"/>
      <c r="W1500" s="1457"/>
      <c r="X1500" s="1457"/>
      <c r="Y1500" s="1457"/>
    </row>
    <row r="1501" spans="1:25" x14ac:dyDescent="0.2">
      <c r="A1501" s="2296"/>
      <c r="B1501" s="2296"/>
      <c r="C1501" s="2296"/>
      <c r="D1501" s="2296"/>
      <c r="E1501" s="1456"/>
      <c r="R1501" s="1457"/>
      <c r="S1501" s="1457"/>
      <c r="T1501" s="1457"/>
      <c r="U1501" s="1457"/>
      <c r="V1501" s="1457"/>
      <c r="W1501" s="1457"/>
      <c r="X1501" s="1457"/>
      <c r="Y1501" s="1457"/>
    </row>
    <row r="1502" spans="1:25" x14ac:dyDescent="0.2">
      <c r="A1502" s="2296"/>
      <c r="B1502" s="2296"/>
      <c r="C1502" s="2296"/>
      <c r="D1502" s="2296"/>
      <c r="E1502" s="1456"/>
      <c r="R1502" s="1457"/>
      <c r="S1502" s="1457"/>
      <c r="T1502" s="1457"/>
      <c r="U1502" s="1457"/>
      <c r="V1502" s="1457"/>
      <c r="W1502" s="1457"/>
      <c r="X1502" s="1457"/>
      <c r="Y1502" s="1457"/>
    </row>
    <row r="1503" spans="1:25" x14ac:dyDescent="0.2">
      <c r="A1503" s="2296"/>
      <c r="B1503" s="2296"/>
      <c r="C1503" s="2296"/>
      <c r="D1503" s="2296"/>
      <c r="E1503" s="1456"/>
      <c r="R1503" s="1457"/>
      <c r="S1503" s="1457"/>
      <c r="T1503" s="1457"/>
      <c r="U1503" s="1457"/>
      <c r="V1503" s="1457"/>
      <c r="W1503" s="1457"/>
      <c r="X1503" s="1457"/>
      <c r="Y1503" s="1457"/>
    </row>
    <row r="1504" spans="1:25" x14ac:dyDescent="0.2">
      <c r="A1504" s="2296"/>
      <c r="B1504" s="2296"/>
      <c r="C1504" s="2296"/>
      <c r="D1504" s="2296"/>
      <c r="E1504" s="1456"/>
      <c r="R1504" s="1457"/>
      <c r="S1504" s="1457"/>
      <c r="T1504" s="1457"/>
      <c r="U1504" s="1457"/>
      <c r="V1504" s="1457"/>
      <c r="W1504" s="1457"/>
      <c r="X1504" s="1457"/>
      <c r="Y1504" s="1457"/>
    </row>
    <row r="1505" spans="1:25" x14ac:dyDescent="0.2">
      <c r="A1505" s="2296"/>
      <c r="B1505" s="2296"/>
      <c r="C1505" s="2296"/>
      <c r="D1505" s="2296"/>
      <c r="E1505" s="1456"/>
      <c r="R1505" s="1457"/>
      <c r="S1505" s="1457"/>
      <c r="T1505" s="1457"/>
      <c r="U1505" s="1457"/>
      <c r="V1505" s="1457"/>
      <c r="W1505" s="1457"/>
      <c r="X1505" s="1457"/>
      <c r="Y1505" s="1457"/>
    </row>
    <row r="1506" spans="1:25" x14ac:dyDescent="0.2">
      <c r="A1506" s="2296"/>
      <c r="B1506" s="2296"/>
      <c r="C1506" s="2296"/>
      <c r="D1506" s="2296"/>
      <c r="E1506" s="1456"/>
      <c r="R1506" s="1457"/>
      <c r="S1506" s="1457"/>
      <c r="T1506" s="1457"/>
      <c r="U1506" s="1457"/>
      <c r="V1506" s="1457"/>
      <c r="W1506" s="1457"/>
      <c r="X1506" s="1457"/>
      <c r="Y1506" s="1457"/>
    </row>
    <row r="1507" spans="1:25" x14ac:dyDescent="0.2">
      <c r="A1507" s="2296"/>
      <c r="B1507" s="2296"/>
      <c r="C1507" s="2296"/>
      <c r="D1507" s="2296"/>
      <c r="E1507" s="1456"/>
      <c r="R1507" s="1457"/>
      <c r="S1507" s="1457"/>
      <c r="T1507" s="1457"/>
      <c r="U1507" s="1457"/>
      <c r="V1507" s="1457"/>
      <c r="W1507" s="1457"/>
      <c r="X1507" s="1457"/>
      <c r="Y1507" s="1457"/>
    </row>
    <row r="1508" spans="1:25" x14ac:dyDescent="0.2">
      <c r="A1508" s="2296"/>
      <c r="B1508" s="2296"/>
      <c r="C1508" s="2296"/>
      <c r="D1508" s="2296"/>
      <c r="E1508" s="1456"/>
      <c r="R1508" s="1457"/>
      <c r="S1508" s="1457"/>
      <c r="T1508" s="1457"/>
      <c r="U1508" s="1457"/>
      <c r="V1508" s="1457"/>
      <c r="W1508" s="1457"/>
      <c r="X1508" s="1457"/>
      <c r="Y1508" s="1457"/>
    </row>
    <row r="1509" spans="1:25" x14ac:dyDescent="0.2">
      <c r="A1509" s="2296"/>
      <c r="B1509" s="2296"/>
      <c r="C1509" s="2296"/>
      <c r="D1509" s="2296"/>
      <c r="E1509" s="1456"/>
      <c r="R1509" s="1457"/>
      <c r="S1509" s="1457"/>
      <c r="T1509" s="1457"/>
      <c r="U1509" s="1457"/>
      <c r="V1509" s="1457"/>
      <c r="W1509" s="1457"/>
      <c r="X1509" s="1457"/>
      <c r="Y1509" s="1457"/>
    </row>
    <row r="1510" spans="1:25" x14ac:dyDescent="0.2">
      <c r="A1510" s="2296"/>
      <c r="B1510" s="2296"/>
      <c r="C1510" s="2296"/>
      <c r="D1510" s="2296"/>
      <c r="E1510" s="1456"/>
      <c r="R1510" s="1457"/>
      <c r="S1510" s="1457"/>
      <c r="T1510" s="1457"/>
      <c r="U1510" s="1457"/>
      <c r="V1510" s="1457"/>
      <c r="W1510" s="1457"/>
      <c r="X1510" s="1457"/>
      <c r="Y1510" s="1457"/>
    </row>
    <row r="1511" spans="1:25" x14ac:dyDescent="0.2">
      <c r="A1511" s="2296"/>
      <c r="B1511" s="2296"/>
      <c r="C1511" s="2296"/>
      <c r="D1511" s="2296"/>
      <c r="E1511" s="1456"/>
      <c r="R1511" s="1457"/>
      <c r="S1511" s="1457"/>
      <c r="T1511" s="1457"/>
      <c r="U1511" s="1457"/>
      <c r="V1511" s="1457"/>
      <c r="W1511" s="1457"/>
      <c r="X1511" s="1457"/>
      <c r="Y1511" s="1457"/>
    </row>
    <row r="1512" spans="1:25" x14ac:dyDescent="0.2">
      <c r="A1512" s="2296"/>
      <c r="B1512" s="2296"/>
      <c r="C1512" s="2296"/>
      <c r="D1512" s="2296"/>
      <c r="E1512" s="1456"/>
      <c r="R1512" s="1457"/>
      <c r="S1512" s="1457"/>
      <c r="T1512" s="1457"/>
      <c r="U1512" s="1457"/>
      <c r="V1512" s="1457"/>
      <c r="W1512" s="1457"/>
      <c r="X1512" s="1457"/>
      <c r="Y1512" s="1457"/>
    </row>
    <row r="1513" spans="1:25" x14ac:dyDescent="0.2">
      <c r="A1513" s="2296"/>
      <c r="B1513" s="2296"/>
      <c r="C1513" s="2296"/>
      <c r="D1513" s="2296"/>
      <c r="E1513" s="1456"/>
      <c r="R1513" s="1457"/>
      <c r="S1513" s="1457"/>
      <c r="T1513" s="1457"/>
      <c r="U1513" s="1457"/>
      <c r="V1513" s="1457"/>
      <c r="W1513" s="1457"/>
      <c r="X1513" s="1457"/>
      <c r="Y1513" s="1457"/>
    </row>
    <row r="1514" spans="1:25" x14ac:dyDescent="0.2">
      <c r="A1514" s="2296"/>
      <c r="B1514" s="2296"/>
      <c r="C1514" s="2296"/>
      <c r="D1514" s="2296"/>
      <c r="E1514" s="1456"/>
      <c r="R1514" s="1457"/>
      <c r="S1514" s="1457"/>
      <c r="T1514" s="1457"/>
      <c r="U1514" s="1457"/>
      <c r="V1514" s="1457"/>
      <c r="W1514" s="1457"/>
      <c r="X1514" s="1457"/>
      <c r="Y1514" s="1457"/>
    </row>
    <row r="1515" spans="1:25" x14ac:dyDescent="0.2">
      <c r="A1515" s="2296"/>
      <c r="B1515" s="2296"/>
      <c r="C1515" s="2296"/>
      <c r="D1515" s="2296"/>
      <c r="E1515" s="1456"/>
      <c r="R1515" s="1457"/>
      <c r="S1515" s="1457"/>
      <c r="T1515" s="1457"/>
      <c r="U1515" s="1457"/>
      <c r="V1515" s="1457"/>
      <c r="W1515" s="1457"/>
      <c r="X1515" s="1457"/>
      <c r="Y1515" s="1457"/>
    </row>
    <row r="1516" spans="1:25" x14ac:dyDescent="0.2">
      <c r="A1516" s="2296"/>
      <c r="B1516" s="2296"/>
      <c r="C1516" s="2296"/>
      <c r="D1516" s="2296"/>
      <c r="E1516" s="1456"/>
      <c r="R1516" s="1457"/>
      <c r="S1516" s="1457"/>
      <c r="T1516" s="1457"/>
      <c r="U1516" s="1457"/>
      <c r="V1516" s="1457"/>
      <c r="W1516" s="1457"/>
      <c r="X1516" s="1457"/>
      <c r="Y1516" s="1457"/>
    </row>
    <row r="1517" spans="1:25" x14ac:dyDescent="0.2">
      <c r="A1517" s="2296"/>
      <c r="B1517" s="2296"/>
      <c r="C1517" s="2296"/>
      <c r="D1517" s="2296"/>
      <c r="E1517" s="1456"/>
      <c r="R1517" s="1457"/>
      <c r="S1517" s="1457"/>
      <c r="T1517" s="1457"/>
      <c r="U1517" s="1457"/>
      <c r="V1517" s="1457"/>
      <c r="W1517" s="1457"/>
      <c r="X1517" s="1457"/>
      <c r="Y1517" s="1457"/>
    </row>
    <row r="1518" spans="1:25" x14ac:dyDescent="0.2">
      <c r="A1518" s="2296"/>
      <c r="B1518" s="2296"/>
      <c r="C1518" s="2296"/>
      <c r="D1518" s="2296"/>
      <c r="E1518" s="1456"/>
      <c r="R1518" s="1457"/>
      <c r="S1518" s="1457"/>
      <c r="T1518" s="1457"/>
      <c r="U1518" s="1457"/>
      <c r="V1518" s="1457"/>
      <c r="W1518" s="1457"/>
      <c r="X1518" s="1457"/>
      <c r="Y1518" s="1457"/>
    </row>
    <row r="1519" spans="1:25" x14ac:dyDescent="0.2">
      <c r="A1519" s="2296"/>
      <c r="B1519" s="2296"/>
      <c r="C1519" s="2296"/>
      <c r="D1519" s="2296"/>
      <c r="E1519" s="1456"/>
      <c r="R1519" s="1457"/>
      <c r="S1519" s="1457"/>
      <c r="T1519" s="1457"/>
      <c r="U1519" s="1457"/>
      <c r="V1519" s="1457"/>
      <c r="W1519" s="1457"/>
      <c r="X1519" s="1457"/>
      <c r="Y1519" s="1457"/>
    </row>
    <row r="1520" spans="1:25" x14ac:dyDescent="0.2">
      <c r="A1520" s="2296"/>
      <c r="B1520" s="2296"/>
      <c r="C1520" s="2296"/>
      <c r="D1520" s="2296"/>
      <c r="E1520" s="1456"/>
      <c r="R1520" s="1457"/>
      <c r="S1520" s="1457"/>
      <c r="T1520" s="1457"/>
      <c r="U1520" s="1457"/>
      <c r="V1520" s="1457"/>
      <c r="W1520" s="1457"/>
      <c r="X1520" s="1457"/>
      <c r="Y1520" s="1457"/>
    </row>
    <row r="1521" spans="1:25" x14ac:dyDescent="0.2">
      <c r="A1521" s="2296"/>
      <c r="B1521" s="2296"/>
      <c r="C1521" s="2296"/>
      <c r="D1521" s="2296"/>
      <c r="E1521" s="1456"/>
      <c r="R1521" s="1457"/>
      <c r="S1521" s="1457"/>
      <c r="T1521" s="1457"/>
      <c r="U1521" s="1457"/>
      <c r="V1521" s="1457"/>
      <c r="W1521" s="1457"/>
      <c r="X1521" s="1457"/>
      <c r="Y1521" s="1457"/>
    </row>
    <row r="1522" spans="1:25" x14ac:dyDescent="0.2">
      <c r="A1522" s="2296"/>
      <c r="B1522" s="2296"/>
      <c r="C1522" s="2296"/>
      <c r="D1522" s="2296"/>
      <c r="E1522" s="1456"/>
      <c r="R1522" s="1457"/>
      <c r="S1522" s="1457"/>
      <c r="T1522" s="1457"/>
      <c r="U1522" s="1457"/>
      <c r="V1522" s="1457"/>
      <c r="W1522" s="1457"/>
      <c r="X1522" s="1457"/>
      <c r="Y1522" s="1457"/>
    </row>
    <row r="1523" spans="1:25" x14ac:dyDescent="0.2">
      <c r="A1523" s="2296"/>
      <c r="B1523" s="2296"/>
      <c r="C1523" s="2296"/>
      <c r="D1523" s="2296"/>
      <c r="E1523" s="1456"/>
      <c r="R1523" s="1457"/>
      <c r="S1523" s="1457"/>
      <c r="T1523" s="1457"/>
      <c r="U1523" s="1457"/>
      <c r="V1523" s="1457"/>
      <c r="W1523" s="1457"/>
      <c r="X1523" s="1457"/>
      <c r="Y1523" s="1457"/>
    </row>
    <row r="1524" spans="1:25" x14ac:dyDescent="0.2">
      <c r="A1524" s="2296"/>
      <c r="B1524" s="2296"/>
      <c r="C1524" s="2296"/>
      <c r="D1524" s="2296"/>
      <c r="E1524" s="1456"/>
      <c r="R1524" s="1457"/>
      <c r="S1524" s="1457"/>
      <c r="T1524" s="1457"/>
      <c r="U1524" s="1457"/>
      <c r="V1524" s="1457"/>
      <c r="W1524" s="1457"/>
      <c r="X1524" s="1457"/>
      <c r="Y1524" s="1457"/>
    </row>
    <row r="1525" spans="1:25" x14ac:dyDescent="0.2">
      <c r="A1525" s="2296"/>
      <c r="B1525" s="2296"/>
      <c r="C1525" s="2296"/>
      <c r="D1525" s="2296"/>
      <c r="E1525" s="1456"/>
      <c r="R1525" s="1457"/>
      <c r="S1525" s="1457"/>
      <c r="T1525" s="1457"/>
      <c r="U1525" s="1457"/>
      <c r="V1525" s="1457"/>
      <c r="W1525" s="1457"/>
      <c r="X1525" s="1457"/>
      <c r="Y1525" s="1457"/>
    </row>
    <row r="1526" spans="1:25" x14ac:dyDescent="0.2">
      <c r="A1526" s="2296"/>
      <c r="B1526" s="2296"/>
      <c r="C1526" s="2296"/>
      <c r="D1526" s="2296"/>
      <c r="E1526" s="1456"/>
      <c r="R1526" s="1457"/>
      <c r="S1526" s="1457"/>
      <c r="T1526" s="1457"/>
      <c r="U1526" s="1457"/>
      <c r="V1526" s="1457"/>
      <c r="W1526" s="1457"/>
      <c r="X1526" s="1457"/>
      <c r="Y1526" s="1457"/>
    </row>
    <row r="1527" spans="1:25" x14ac:dyDescent="0.2">
      <c r="E1527" s="1456"/>
      <c r="R1527" s="1457"/>
      <c r="S1527" s="1457"/>
      <c r="T1527" s="1457"/>
      <c r="U1527" s="1457"/>
      <c r="V1527" s="1457"/>
      <c r="W1527" s="1457"/>
      <c r="X1527" s="1457"/>
      <c r="Y1527" s="1457"/>
    </row>
    <row r="1528" spans="1:25" x14ac:dyDescent="0.2">
      <c r="E1528" s="1456"/>
      <c r="R1528" s="1457"/>
      <c r="S1528" s="1457"/>
      <c r="T1528" s="1457"/>
      <c r="U1528" s="1457"/>
      <c r="V1528" s="1457"/>
      <c r="W1528" s="1457"/>
      <c r="X1528" s="1457"/>
      <c r="Y1528" s="1457"/>
    </row>
  </sheetData>
  <customSheetViews>
    <customSheetView guid="{F50C5479-5CC4-4FD7-8319-543D29E829F0}" showGridLines="0" topLeftCell="A69">
      <selection activeCell="C77" sqref="C77"/>
      <pageMargins left="0.75" right="0.27" top="1" bottom="1" header="0.5" footer="0.5"/>
      <pageSetup scale="70" orientation="portrait" r:id="rId1"/>
      <headerFooter alignWithMargins="0"/>
    </customSheetView>
  </customSheetViews>
  <mergeCells count="21">
    <mergeCell ref="C8:D8"/>
    <mergeCell ref="A14:B14"/>
    <mergeCell ref="A30:B30"/>
    <mergeCell ref="C11:D11"/>
    <mergeCell ref="C13:D13"/>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s>
  <phoneticPr fontId="2" type="noConversion"/>
  <dataValidations count="2">
    <dataValidation type="whole" allowBlank="1" showInputMessage="1" showErrorMessage="1" sqref="B18:B19 B24:B25">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2"/>
    <hyperlink ref="B43" r:id="rId3"/>
    <hyperlink ref="D43" r:id="rId4"/>
    <hyperlink ref="B58" r:id="rId5"/>
    <hyperlink ref="D58" r:id="rId6"/>
    <hyperlink ref="D65" r:id="rId7"/>
  </hyperlinks>
  <pageMargins left="0.75" right="0.27" top="1" bottom="1" header="0.5" footer="0.5"/>
  <pageSetup scale="70" orientation="portrait" r:id="rId8"/>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indexed="42"/>
  </sheetPr>
  <dimension ref="A1:Q260"/>
  <sheetViews>
    <sheetView showGridLines="0" zoomScaleNormal="100" workbookViewId="0">
      <pane xSplit="3" ySplit="3" topLeftCell="F65" activePane="bottomRight" state="frozen"/>
      <selection pane="topRight"/>
      <selection pane="bottomLeft"/>
      <selection pane="bottomRight" activeCell="F73" sqref="F73"/>
    </sheetView>
  </sheetViews>
  <sheetFormatPr defaultRowHeight="12.75" x14ac:dyDescent="0.25"/>
  <cols>
    <col min="1" max="1" width="23.5703125" style="149" customWidth="1"/>
    <col min="2" max="2" width="3" style="247" customWidth="1"/>
    <col min="3" max="3" width="45.140625" style="149" customWidth="1"/>
    <col min="4" max="4" width="6.5703125" style="149" bestFit="1" customWidth="1"/>
    <col min="5" max="5" width="4.42578125" style="149" customWidth="1"/>
    <col min="6" max="6" width="20.5703125" style="149" customWidth="1"/>
    <col min="7" max="8" width="23.5703125" style="149" customWidth="1"/>
    <col min="9" max="9" width="17.7109375" style="149" customWidth="1"/>
    <col min="10" max="15" width="9.28515625" style="149" customWidth="1"/>
    <col min="16" max="16" width="12.140625" style="149" customWidth="1"/>
    <col min="17" max="17" width="9.28515625" style="149" customWidth="1"/>
    <col min="18" max="18" width="9.85546875" style="149" customWidth="1"/>
    <col min="19" max="19" width="9.5703125" style="149" customWidth="1"/>
    <col min="20" max="20" width="9.85546875" style="149" customWidth="1"/>
    <col min="21" max="23" width="9.5703125" style="149" customWidth="1"/>
    <col min="24" max="24" width="9.85546875" style="149" customWidth="1"/>
    <col min="25" max="27" width="9.5703125" style="149" customWidth="1"/>
    <col min="28" max="29" width="9.85546875" style="149" customWidth="1"/>
    <col min="30" max="16384" width="9.140625" style="149"/>
  </cols>
  <sheetData>
    <row r="1" spans="1:17" ht="13.5" customHeight="1" x14ac:dyDescent="0.25">
      <c r="A1" s="147" t="str">
        <f>muni&amp;" - "&amp;TableA36</f>
        <v>MP315 Thembisile Hani - Supporting Table SA36 Detailed capital budget</v>
      </c>
      <c r="B1" s="147"/>
      <c r="C1" s="147"/>
      <c r="D1" s="147"/>
      <c r="E1" s="147"/>
      <c r="F1" s="147"/>
      <c r="G1" s="147"/>
      <c r="H1" s="147"/>
      <c r="I1" s="147"/>
      <c r="J1" s="147"/>
      <c r="K1" s="147"/>
      <c r="L1" s="147"/>
      <c r="M1" s="147"/>
      <c r="N1" s="147"/>
      <c r="O1" s="147"/>
      <c r="P1" s="147"/>
      <c r="Q1" s="147"/>
    </row>
    <row r="2" spans="1:17" ht="33.75" customHeight="1" x14ac:dyDescent="0.25">
      <c r="A2" s="980" t="s">
        <v>960</v>
      </c>
      <c r="B2" s="418" t="str">
        <f>head27</f>
        <v>Ref</v>
      </c>
      <c r="C2" s="2820" t="s">
        <v>1058</v>
      </c>
      <c r="D2" s="2820" t="s">
        <v>1350</v>
      </c>
      <c r="E2" s="2820" t="s">
        <v>1987</v>
      </c>
      <c r="F2" s="2466" t="s">
        <v>2231</v>
      </c>
      <c r="G2" s="2466" t="s">
        <v>2232</v>
      </c>
      <c r="H2" s="2466" t="s">
        <v>2233</v>
      </c>
      <c r="I2" s="2466" t="s">
        <v>2234</v>
      </c>
      <c r="J2" s="2850" t="s">
        <v>1059</v>
      </c>
      <c r="K2" s="2820" t="s">
        <v>1354</v>
      </c>
      <c r="L2" s="2818"/>
      <c r="M2" s="2763" t="str">
        <f>Head3</f>
        <v>2015/16 Medium Term Revenue &amp; Expenditure Framework</v>
      </c>
      <c r="N2" s="2764"/>
      <c r="O2" s="2765"/>
      <c r="P2" s="2848" t="s">
        <v>1352</v>
      </c>
      <c r="Q2" s="2849"/>
    </row>
    <row r="3" spans="1:17" ht="50.25" customHeight="1" x14ac:dyDescent="0.25">
      <c r="A3" s="180" t="s">
        <v>662</v>
      </c>
      <c r="B3" s="2526">
        <v>4</v>
      </c>
      <c r="C3" s="2821"/>
      <c r="D3" s="2821" t="s">
        <v>1784</v>
      </c>
      <c r="E3" s="2821"/>
      <c r="F3" s="389">
        <v>6</v>
      </c>
      <c r="G3" s="389">
        <v>3</v>
      </c>
      <c r="H3" s="389">
        <v>3</v>
      </c>
      <c r="I3" s="389">
        <v>5</v>
      </c>
      <c r="J3" s="2851"/>
      <c r="K3" s="923" t="str">
        <f>Head5&amp;"    "&amp;Head1</f>
        <v>Audited Outcome    2013/14</v>
      </c>
      <c r="L3" s="924" t="str">
        <f>Head2 &amp; "        "&amp;Head8</f>
        <v>Current Year 2014/15        Full Year Forecast</v>
      </c>
      <c r="M3" s="299" t="str">
        <f>Head9</f>
        <v>Budget Year 2015/16</v>
      </c>
      <c r="N3" s="389" t="str">
        <f>Head10</f>
        <v>Budget Year +1 2016/17</v>
      </c>
      <c r="O3" s="390" t="str">
        <f>Head11</f>
        <v>Budget Year +2 2017/18</v>
      </c>
      <c r="P3" s="1002" t="s">
        <v>1353</v>
      </c>
      <c r="Q3" s="924" t="s">
        <v>1351</v>
      </c>
    </row>
    <row r="4" spans="1:17" x14ac:dyDescent="0.25">
      <c r="A4" s="941" t="s">
        <v>1476</v>
      </c>
      <c r="B4" s="942"/>
      <c r="C4" s="943"/>
      <c r="D4" s="944"/>
      <c r="E4" s="944"/>
      <c r="F4" s="944"/>
      <c r="G4" s="945"/>
      <c r="H4" s="946"/>
      <c r="I4" s="2341"/>
      <c r="J4" s="341"/>
      <c r="K4" s="311"/>
      <c r="L4" s="312"/>
      <c r="M4" s="313"/>
      <c r="N4" s="311"/>
      <c r="O4" s="314"/>
      <c r="P4" s="947"/>
      <c r="Q4" s="948"/>
    </row>
    <row r="5" spans="1:17" s="708" customFormat="1" x14ac:dyDescent="0.25">
      <c r="A5" s="1266" t="s">
        <v>2848</v>
      </c>
      <c r="B5" s="1085"/>
      <c r="C5" s="1086"/>
      <c r="D5" s="1087"/>
      <c r="E5" s="1087"/>
      <c r="F5" s="1087"/>
      <c r="G5" s="1424"/>
      <c r="H5" s="1425"/>
      <c r="I5" s="2342"/>
      <c r="J5" s="1088"/>
      <c r="K5" s="1089"/>
      <c r="L5" s="1090"/>
      <c r="M5" s="1091"/>
      <c r="N5" s="1089"/>
      <c r="O5" s="1092"/>
      <c r="P5" s="1093"/>
      <c r="Q5" s="1094"/>
    </row>
    <row r="6" spans="1:17" ht="5.0999999999999996" customHeight="1" x14ac:dyDescent="0.25">
      <c r="A6" s="953"/>
      <c r="B6" s="350"/>
      <c r="C6" s="595"/>
      <c r="D6" s="949"/>
      <c r="E6" s="949"/>
      <c r="F6" s="949"/>
      <c r="G6" s="950"/>
      <c r="H6" s="951"/>
      <c r="I6" s="2343"/>
      <c r="J6" s="206"/>
      <c r="K6" s="203"/>
      <c r="L6" s="202"/>
      <c r="M6" s="205"/>
      <c r="N6" s="203"/>
      <c r="O6" s="204"/>
      <c r="P6" s="652"/>
      <c r="Q6" s="954"/>
    </row>
    <row r="7" spans="1:17" ht="12.75" customHeight="1" x14ac:dyDescent="0.25">
      <c r="A7" s="1914"/>
      <c r="B7" s="1827"/>
      <c r="C7" s="2687" t="s">
        <v>2702</v>
      </c>
      <c r="D7" s="1944"/>
      <c r="E7" s="1944"/>
      <c r="F7" s="1915" t="s">
        <v>425</v>
      </c>
      <c r="G7" s="1987" t="s">
        <v>533</v>
      </c>
      <c r="H7" s="1988" t="s">
        <v>534</v>
      </c>
      <c r="I7" s="2344"/>
      <c r="J7" s="1608"/>
      <c r="K7" s="1606">
        <v>4712000</v>
      </c>
      <c r="L7" s="1630"/>
      <c r="M7" s="1629"/>
      <c r="N7" s="1606"/>
      <c r="O7" s="1628"/>
      <c r="P7" s="1989"/>
      <c r="Q7" s="1990"/>
    </row>
    <row r="8" spans="1:17" ht="12.75" customHeight="1" x14ac:dyDescent="0.25">
      <c r="A8" s="1914"/>
      <c r="B8" s="1827"/>
      <c r="C8" s="2687" t="s">
        <v>2701</v>
      </c>
      <c r="D8" s="1942"/>
      <c r="E8" s="1942"/>
      <c r="F8" s="1915"/>
      <c r="G8" s="1987" t="s">
        <v>533</v>
      </c>
      <c r="H8" s="1988" t="s">
        <v>534</v>
      </c>
      <c r="I8" s="2344"/>
      <c r="J8" s="1608"/>
      <c r="K8" s="1606">
        <v>91200</v>
      </c>
      <c r="L8" s="1630"/>
      <c r="M8" s="1629"/>
      <c r="N8" s="1606"/>
      <c r="O8" s="1628"/>
      <c r="P8" s="1989"/>
      <c r="Q8" s="1990"/>
    </row>
    <row r="9" spans="1:17" ht="12.75" customHeight="1" x14ac:dyDescent="0.25">
      <c r="A9" s="1914"/>
      <c r="B9" s="1827"/>
      <c r="C9" s="2687" t="s">
        <v>2700</v>
      </c>
      <c r="D9" s="1942"/>
      <c r="E9" s="1942"/>
      <c r="F9" s="1915"/>
      <c r="G9" s="1987" t="s">
        <v>533</v>
      </c>
      <c r="H9" s="1988" t="s">
        <v>534</v>
      </c>
      <c r="I9" s="2344"/>
      <c r="J9" s="1608"/>
      <c r="K9" s="1606">
        <v>1132933.19</v>
      </c>
      <c r="L9" s="1630"/>
      <c r="M9" s="1629"/>
      <c r="N9" s="1606"/>
      <c r="O9" s="1628"/>
      <c r="P9" s="1989"/>
      <c r="Q9" s="1990"/>
    </row>
    <row r="10" spans="1:17" ht="12.75" customHeight="1" x14ac:dyDescent="0.25">
      <c r="A10" s="1914"/>
      <c r="B10" s="1827"/>
      <c r="C10" s="2687" t="s">
        <v>2714</v>
      </c>
      <c r="D10" s="1942"/>
      <c r="E10" s="1942"/>
      <c r="F10" s="1915"/>
      <c r="G10" s="1987" t="s">
        <v>533</v>
      </c>
      <c r="H10" s="1988" t="s">
        <v>534</v>
      </c>
      <c r="I10" s="2344"/>
      <c r="J10" s="1608"/>
      <c r="K10" s="1606">
        <v>2468595.75</v>
      </c>
      <c r="L10" s="1630">
        <v>2000000</v>
      </c>
      <c r="M10" s="1629"/>
      <c r="N10" s="1606"/>
      <c r="O10" s="1628"/>
      <c r="P10" s="1989"/>
      <c r="Q10" s="1990"/>
    </row>
    <row r="11" spans="1:17" ht="12.75" customHeight="1" x14ac:dyDescent="0.25">
      <c r="A11" s="1914"/>
      <c r="B11" s="1827"/>
      <c r="C11" s="2687" t="s">
        <v>2716</v>
      </c>
      <c r="D11" s="1942"/>
      <c r="E11" s="1942"/>
      <c r="F11" s="1915"/>
      <c r="G11" s="1987" t="s">
        <v>533</v>
      </c>
      <c r="H11" s="1988" t="s">
        <v>534</v>
      </c>
      <c r="I11" s="2344"/>
      <c r="J11" s="1608"/>
      <c r="K11" s="1606">
        <v>2007922.93</v>
      </c>
      <c r="L11" s="1630">
        <v>2000000</v>
      </c>
      <c r="M11" s="1629"/>
      <c r="N11" s="1606"/>
      <c r="O11" s="1628"/>
      <c r="P11" s="1989"/>
      <c r="Q11" s="1990"/>
    </row>
    <row r="12" spans="1:17" ht="12.75" customHeight="1" x14ac:dyDescent="0.25">
      <c r="A12" s="1914"/>
      <c r="B12" s="1827"/>
      <c r="C12" s="2687" t="s">
        <v>2717</v>
      </c>
      <c r="D12" s="1942"/>
      <c r="E12" s="1942"/>
      <c r="F12" s="1915"/>
      <c r="G12" s="1987" t="s">
        <v>533</v>
      </c>
      <c r="H12" s="1988" t="s">
        <v>534</v>
      </c>
      <c r="I12" s="2344"/>
      <c r="J12" s="1608"/>
      <c r="K12" s="1606">
        <v>2792427.71</v>
      </c>
      <c r="L12" s="1630">
        <v>3000000</v>
      </c>
      <c r="M12" s="1629"/>
      <c r="N12" s="1606"/>
      <c r="O12" s="1628"/>
      <c r="P12" s="1989"/>
      <c r="Q12" s="1990"/>
    </row>
    <row r="13" spans="1:17" ht="12.75" customHeight="1" x14ac:dyDescent="0.25">
      <c r="A13" s="1914"/>
      <c r="B13" s="1827"/>
      <c r="C13" s="2687" t="s">
        <v>2718</v>
      </c>
      <c r="D13" s="1942"/>
      <c r="E13" s="1942"/>
      <c r="F13" s="1915"/>
      <c r="G13" s="1987" t="s">
        <v>533</v>
      </c>
      <c r="H13" s="1988" t="s">
        <v>534</v>
      </c>
      <c r="I13" s="2344"/>
      <c r="J13" s="1608"/>
      <c r="K13" s="1606">
        <v>2278949.9500000002</v>
      </c>
      <c r="L13" s="1630">
        <v>2000000</v>
      </c>
      <c r="M13" s="1629"/>
      <c r="N13" s="1606"/>
      <c r="O13" s="1628"/>
      <c r="P13" s="1989"/>
      <c r="Q13" s="1990"/>
    </row>
    <row r="14" spans="1:17" ht="12.75" customHeight="1" x14ac:dyDescent="0.25">
      <c r="A14" s="1914"/>
      <c r="B14" s="1827"/>
      <c r="C14" s="2687" t="s">
        <v>2719</v>
      </c>
      <c r="D14" s="1942"/>
      <c r="E14" s="1942"/>
      <c r="F14" s="1915"/>
      <c r="G14" s="1987" t="s">
        <v>533</v>
      </c>
      <c r="H14" s="1988" t="s">
        <v>534</v>
      </c>
      <c r="I14" s="2344"/>
      <c r="J14" s="1608"/>
      <c r="K14" s="1606">
        <v>1682356.24</v>
      </c>
      <c r="L14" s="1630">
        <v>2000000</v>
      </c>
      <c r="M14" s="1629"/>
      <c r="N14" s="1606"/>
      <c r="O14" s="1628"/>
      <c r="P14" s="1989"/>
      <c r="Q14" s="1990"/>
    </row>
    <row r="15" spans="1:17" ht="12.75" customHeight="1" x14ac:dyDescent="0.25">
      <c r="A15" s="1914"/>
      <c r="B15" s="1827"/>
      <c r="C15" s="2687" t="s">
        <v>2720</v>
      </c>
      <c r="D15" s="1942"/>
      <c r="E15" s="1942"/>
      <c r="F15" s="1915"/>
      <c r="G15" s="1987" t="s">
        <v>533</v>
      </c>
      <c r="H15" s="1988" t="s">
        <v>534</v>
      </c>
      <c r="I15" s="2344"/>
      <c r="J15" s="1608"/>
      <c r="K15" s="1606">
        <v>2654837.8200000003</v>
      </c>
      <c r="L15" s="1630">
        <v>2000000</v>
      </c>
      <c r="M15" s="1629"/>
      <c r="N15" s="1606"/>
      <c r="O15" s="1628"/>
      <c r="P15" s="1989"/>
      <c r="Q15" s="1990"/>
    </row>
    <row r="16" spans="1:17" ht="12.75" customHeight="1" x14ac:dyDescent="0.25">
      <c r="A16" s="1914"/>
      <c r="B16" s="1827"/>
      <c r="C16" s="2687" t="s">
        <v>2722</v>
      </c>
      <c r="D16" s="1942"/>
      <c r="E16" s="1942"/>
      <c r="F16" s="1915"/>
      <c r="G16" s="1987" t="s">
        <v>533</v>
      </c>
      <c r="H16" s="1988" t="s">
        <v>534</v>
      </c>
      <c r="I16" s="2344"/>
      <c r="J16" s="1608"/>
      <c r="K16" s="1606">
        <v>2062147.8</v>
      </c>
      <c r="L16" s="1630">
        <v>2280750</v>
      </c>
      <c r="M16" s="1629"/>
      <c r="N16" s="1606"/>
      <c r="O16" s="1628"/>
      <c r="P16" s="1989"/>
      <c r="Q16" s="1990"/>
    </row>
    <row r="17" spans="1:17" ht="12.75" customHeight="1" x14ac:dyDescent="0.25">
      <c r="A17" s="1914"/>
      <c r="B17" s="1827"/>
      <c r="C17" s="2687" t="s">
        <v>2723</v>
      </c>
      <c r="D17" s="1942"/>
      <c r="E17" s="1942"/>
      <c r="F17" s="1915"/>
      <c r="G17" s="1987" t="s">
        <v>533</v>
      </c>
      <c r="H17" s="1988" t="s">
        <v>534</v>
      </c>
      <c r="I17" s="2344"/>
      <c r="J17" s="1608"/>
      <c r="K17" s="1606">
        <v>2094301.74</v>
      </c>
      <c r="L17" s="1630">
        <v>2000000</v>
      </c>
      <c r="M17" s="1629"/>
      <c r="N17" s="1606"/>
      <c r="O17" s="1628"/>
      <c r="P17" s="1989"/>
      <c r="Q17" s="1990"/>
    </row>
    <row r="18" spans="1:17" ht="12.75" customHeight="1" x14ac:dyDescent="0.25">
      <c r="A18" s="1914"/>
      <c r="B18" s="1827"/>
      <c r="C18" s="2687" t="s">
        <v>2726</v>
      </c>
      <c r="D18" s="1942"/>
      <c r="E18" s="1942"/>
      <c r="F18" s="1915"/>
      <c r="G18" s="1987" t="s">
        <v>533</v>
      </c>
      <c r="H18" s="1988" t="s">
        <v>534</v>
      </c>
      <c r="I18" s="2344"/>
      <c r="J18" s="1608"/>
      <c r="K18" s="1606">
        <v>1710920.56</v>
      </c>
      <c r="L18" s="1630">
        <v>2000000</v>
      </c>
      <c r="M18" s="1629"/>
      <c r="N18" s="1606"/>
      <c r="O18" s="1628"/>
      <c r="P18" s="1989"/>
      <c r="Q18" s="1990"/>
    </row>
    <row r="19" spans="1:17" ht="12.75" customHeight="1" x14ac:dyDescent="0.25">
      <c r="A19" s="1914"/>
      <c r="B19" s="1827"/>
      <c r="C19" s="2687" t="s">
        <v>2733</v>
      </c>
      <c r="D19" s="1942"/>
      <c r="E19" s="1942"/>
      <c r="F19" s="1915"/>
      <c r="G19" s="1987" t="s">
        <v>533</v>
      </c>
      <c r="H19" s="1988" t="s">
        <v>534</v>
      </c>
      <c r="I19" s="2344"/>
      <c r="J19" s="1608"/>
      <c r="K19" s="1606"/>
      <c r="L19" s="1630">
        <v>2000000</v>
      </c>
      <c r="M19" s="1629"/>
      <c r="N19" s="1606"/>
      <c r="O19" s="1628"/>
      <c r="P19" s="1989" t="s">
        <v>2859</v>
      </c>
      <c r="Q19" s="1990"/>
    </row>
    <row r="20" spans="1:17" ht="12.75" customHeight="1" x14ac:dyDescent="0.25">
      <c r="A20" s="1914"/>
      <c r="B20" s="1827"/>
      <c r="C20" s="2687" t="s">
        <v>2734</v>
      </c>
      <c r="D20" s="1942"/>
      <c r="E20" s="1942"/>
      <c r="F20" s="1915"/>
      <c r="G20" s="1987" t="s">
        <v>533</v>
      </c>
      <c r="H20" s="1988" t="s">
        <v>534</v>
      </c>
      <c r="I20" s="2344"/>
      <c r="J20" s="1608"/>
      <c r="K20" s="1606"/>
      <c r="L20" s="1630">
        <v>2000000</v>
      </c>
      <c r="M20" s="1629"/>
      <c r="N20" s="1606"/>
      <c r="O20" s="1628"/>
      <c r="P20" s="1989"/>
      <c r="Q20" s="1990"/>
    </row>
    <row r="21" spans="1:17" ht="12.75" customHeight="1" x14ac:dyDescent="0.25">
      <c r="A21" s="1914"/>
      <c r="B21" s="1827"/>
      <c r="C21" s="2687" t="s">
        <v>2861</v>
      </c>
      <c r="D21" s="1942"/>
      <c r="E21" s="1942"/>
      <c r="F21" s="1915"/>
      <c r="G21" s="1987"/>
      <c r="H21" s="1988"/>
      <c r="I21" s="2344"/>
      <c r="J21" s="1608"/>
      <c r="K21" s="1606">
        <v>53989285.360000014</v>
      </c>
      <c r="L21" s="1630"/>
      <c r="M21" s="1629"/>
      <c r="N21" s="1606"/>
      <c r="O21" s="1628"/>
      <c r="P21" s="1989"/>
      <c r="Q21" s="1990"/>
    </row>
    <row r="22" spans="1:17" ht="12.75" customHeight="1" x14ac:dyDescent="0.25">
      <c r="A22" s="1914"/>
      <c r="B22" s="1827"/>
      <c r="C22" s="2687" t="s">
        <v>2751</v>
      </c>
      <c r="D22" s="1942"/>
      <c r="E22" s="1942"/>
      <c r="F22" s="1915"/>
      <c r="G22" s="1987" t="s">
        <v>533</v>
      </c>
      <c r="H22" s="1988" t="s">
        <v>534</v>
      </c>
      <c r="I22" s="2344"/>
      <c r="J22" s="1608"/>
      <c r="K22" s="1606">
        <v>1664035.55</v>
      </c>
      <c r="L22" s="1630"/>
      <c r="M22" s="1629"/>
      <c r="N22" s="1606"/>
      <c r="O22" s="1628"/>
      <c r="P22" s="1989"/>
      <c r="Q22" s="1990"/>
    </row>
    <row r="23" spans="1:17" ht="12.75" customHeight="1" x14ac:dyDescent="0.25">
      <c r="A23" s="1914"/>
      <c r="B23" s="1827"/>
      <c r="C23" s="2687" t="s">
        <v>2724</v>
      </c>
      <c r="D23" s="1942"/>
      <c r="E23" s="1942"/>
      <c r="F23" s="1915"/>
      <c r="G23" s="1987" t="s">
        <v>1556</v>
      </c>
      <c r="H23" s="1988" t="s">
        <v>1245</v>
      </c>
      <c r="I23" s="2344"/>
      <c r="J23" s="1608"/>
      <c r="K23" s="1606"/>
      <c r="L23" s="1630">
        <v>5000000</v>
      </c>
      <c r="M23" s="1629"/>
      <c r="N23" s="1606"/>
      <c r="O23" s="1628"/>
      <c r="P23" s="1989"/>
      <c r="Q23" s="1990"/>
    </row>
    <row r="24" spans="1:17" ht="12.75" customHeight="1" x14ac:dyDescent="0.25">
      <c r="A24" s="1914"/>
      <c r="B24" s="1827"/>
      <c r="C24" s="2687" t="s">
        <v>2725</v>
      </c>
      <c r="D24" s="1942"/>
      <c r="E24" s="1942"/>
      <c r="F24" s="1915"/>
      <c r="G24" s="1987" t="s">
        <v>1556</v>
      </c>
      <c r="H24" s="1988" t="s">
        <v>1245</v>
      </c>
      <c r="I24" s="2344"/>
      <c r="J24" s="1608"/>
      <c r="K24" s="1606"/>
      <c r="L24" s="1630">
        <v>5000000</v>
      </c>
      <c r="M24" s="1629"/>
      <c r="N24" s="1606"/>
      <c r="O24" s="1628"/>
      <c r="P24" s="1989"/>
      <c r="Q24" s="1990"/>
    </row>
    <row r="25" spans="1:17" ht="12.75" customHeight="1" x14ac:dyDescent="0.25">
      <c r="A25" s="1914"/>
      <c r="B25" s="1827"/>
      <c r="C25" s="2687" t="s">
        <v>2784</v>
      </c>
      <c r="D25" s="1942"/>
      <c r="E25" s="1942"/>
      <c r="F25" s="1915"/>
      <c r="G25" s="1987" t="s">
        <v>28</v>
      </c>
      <c r="H25" s="1988" t="s">
        <v>29</v>
      </c>
      <c r="I25" s="2344" t="s">
        <v>2900</v>
      </c>
      <c r="J25" s="1608"/>
      <c r="K25" s="1606"/>
      <c r="L25" s="1630">
        <v>5000000</v>
      </c>
      <c r="M25" s="1629">
        <v>8336605</v>
      </c>
      <c r="N25" s="1606">
        <f>M25*1.059</f>
        <v>8828464.6950000003</v>
      </c>
      <c r="O25" s="1628">
        <f>N25*1.056</f>
        <v>9322858.7179200016</v>
      </c>
      <c r="P25" s="1989"/>
      <c r="Q25" s="1990"/>
    </row>
    <row r="26" spans="1:17" ht="12.75" customHeight="1" x14ac:dyDescent="0.25">
      <c r="A26" s="1914"/>
      <c r="B26" s="1827"/>
      <c r="C26" s="2687" t="s">
        <v>2765</v>
      </c>
      <c r="D26" s="1942"/>
      <c r="E26" s="1942"/>
      <c r="F26" s="1915"/>
      <c r="G26" s="1987" t="s">
        <v>28</v>
      </c>
      <c r="H26" s="1988" t="s">
        <v>29</v>
      </c>
      <c r="I26" s="2344" t="s">
        <v>2901</v>
      </c>
      <c r="J26" s="1608"/>
      <c r="K26" s="1606">
        <v>638521.94999999995</v>
      </c>
      <c r="L26" s="1630"/>
      <c r="M26" s="1629">
        <v>3008887</v>
      </c>
      <c r="N26" s="1606">
        <f t="shared" ref="N26:N89" si="0">M26*1.059</f>
        <v>3186411.3329999996</v>
      </c>
      <c r="O26" s="1628">
        <f t="shared" ref="O26:O89" si="1">N26*1.056</f>
        <v>3364850.3676479999</v>
      </c>
      <c r="P26" s="1989"/>
      <c r="Q26" s="1990"/>
    </row>
    <row r="27" spans="1:17" ht="12.75" customHeight="1" x14ac:dyDescent="0.25">
      <c r="A27" s="1914"/>
      <c r="B27" s="1827"/>
      <c r="C27" s="2687" t="s">
        <v>2699</v>
      </c>
      <c r="D27" s="1942"/>
      <c r="E27" s="1942"/>
      <c r="F27" s="1915"/>
      <c r="G27" s="1987" t="s">
        <v>24</v>
      </c>
      <c r="H27" s="1988" t="s">
        <v>25</v>
      </c>
      <c r="I27" s="2344"/>
      <c r="J27" s="1608"/>
      <c r="K27" s="1606"/>
      <c r="L27" s="1630"/>
      <c r="M27" s="1629"/>
      <c r="N27" s="1606">
        <f t="shared" si="0"/>
        <v>0</v>
      </c>
      <c r="O27" s="1628">
        <f t="shared" si="1"/>
        <v>0</v>
      </c>
      <c r="P27" s="1989"/>
      <c r="Q27" s="1990"/>
    </row>
    <row r="28" spans="1:17" ht="12.75" customHeight="1" x14ac:dyDescent="0.25">
      <c r="A28" s="1914"/>
      <c r="B28" s="1827"/>
      <c r="C28" s="2687" t="s">
        <v>2728</v>
      </c>
      <c r="D28" s="1942"/>
      <c r="E28" s="1942"/>
      <c r="F28" s="1915"/>
      <c r="G28" s="1987" t="s">
        <v>24</v>
      </c>
      <c r="H28" s="1988" t="s">
        <v>25</v>
      </c>
      <c r="I28" s="2344" t="s">
        <v>2902</v>
      </c>
      <c r="J28" s="1608"/>
      <c r="K28" s="1606">
        <v>802286</v>
      </c>
      <c r="L28" s="1630">
        <v>34003001.630000003</v>
      </c>
      <c r="M28" s="1629">
        <v>40289680</v>
      </c>
      <c r="N28" s="1606">
        <f t="shared" si="0"/>
        <v>42666771.119999997</v>
      </c>
      <c r="O28" s="1628">
        <f t="shared" si="1"/>
        <v>45056110.302720003</v>
      </c>
      <c r="P28" s="1989"/>
      <c r="Q28" s="1990"/>
    </row>
    <row r="29" spans="1:17" ht="12.75" customHeight="1" x14ac:dyDescent="0.25">
      <c r="A29" s="1914"/>
      <c r="B29" s="1827"/>
      <c r="C29" s="2687" t="s">
        <v>2800</v>
      </c>
      <c r="D29" s="1942"/>
      <c r="E29" s="1942"/>
      <c r="F29" s="1915"/>
      <c r="G29" s="1987" t="s">
        <v>24</v>
      </c>
      <c r="H29" s="1988" t="s">
        <v>25</v>
      </c>
      <c r="I29" s="2344" t="s">
        <v>2903</v>
      </c>
      <c r="J29" s="1608"/>
      <c r="K29" s="1606"/>
      <c r="L29" s="1630"/>
      <c r="M29" s="1629">
        <v>973060</v>
      </c>
      <c r="N29" s="1606">
        <f t="shared" si="0"/>
        <v>1030470.5399999999</v>
      </c>
      <c r="O29" s="1628">
        <f t="shared" si="1"/>
        <v>1088176.8902399999</v>
      </c>
      <c r="P29" s="1989"/>
      <c r="Q29" s="1990"/>
    </row>
    <row r="30" spans="1:17" ht="12.75" customHeight="1" x14ac:dyDescent="0.25">
      <c r="A30" s="1914"/>
      <c r="B30" s="1827"/>
      <c r="C30" s="2687" t="s">
        <v>2732</v>
      </c>
      <c r="D30" s="1942"/>
      <c r="E30" s="1942"/>
      <c r="F30" s="1915"/>
      <c r="G30" s="1987" t="s">
        <v>24</v>
      </c>
      <c r="H30" s="1988" t="s">
        <v>23</v>
      </c>
      <c r="I30" s="2344"/>
      <c r="J30" s="1608"/>
      <c r="K30" s="1606"/>
      <c r="L30" s="1630">
        <v>2000000</v>
      </c>
      <c r="M30" s="1629"/>
      <c r="N30" s="1606">
        <f t="shared" si="0"/>
        <v>0</v>
      </c>
      <c r="O30" s="1628">
        <f t="shared" si="1"/>
        <v>0</v>
      </c>
      <c r="P30" s="1989"/>
      <c r="Q30" s="1990"/>
    </row>
    <row r="31" spans="1:17" ht="12.75" customHeight="1" x14ac:dyDescent="0.25">
      <c r="A31" s="1914"/>
      <c r="B31" s="1827"/>
      <c r="C31" s="2687" t="s">
        <v>2729</v>
      </c>
      <c r="D31" s="1942"/>
      <c r="E31" s="1942"/>
      <c r="F31" s="1915"/>
      <c r="G31" s="1987" t="s">
        <v>24</v>
      </c>
      <c r="H31" s="1988" t="s">
        <v>23</v>
      </c>
      <c r="I31" s="2344" t="s">
        <v>2904</v>
      </c>
      <c r="J31" s="1608"/>
      <c r="K31" s="1606">
        <v>542617</v>
      </c>
      <c r="L31" s="1630">
        <v>9216000</v>
      </c>
      <c r="M31" s="1629">
        <v>6000000</v>
      </c>
      <c r="N31" s="1606">
        <f t="shared" si="0"/>
        <v>6354000</v>
      </c>
      <c r="O31" s="1628">
        <f t="shared" si="1"/>
        <v>6709824</v>
      </c>
      <c r="P31" s="1989"/>
      <c r="Q31" s="1990"/>
    </row>
    <row r="32" spans="1:17" ht="12.75" customHeight="1" x14ac:dyDescent="0.25">
      <c r="A32" s="1914"/>
      <c r="B32" s="1827"/>
      <c r="C32" s="2687" t="s">
        <v>2740</v>
      </c>
      <c r="D32" s="1942"/>
      <c r="E32" s="1942"/>
      <c r="F32" s="1915"/>
      <c r="G32" s="1987" t="s">
        <v>24</v>
      </c>
      <c r="H32" s="1988" t="s">
        <v>23</v>
      </c>
      <c r="I32" s="2344"/>
      <c r="J32" s="1608"/>
      <c r="K32" s="1606"/>
      <c r="L32" s="1630">
        <v>1500000</v>
      </c>
      <c r="M32" s="1629"/>
      <c r="N32" s="1606">
        <f t="shared" si="0"/>
        <v>0</v>
      </c>
      <c r="O32" s="1628">
        <f t="shared" si="1"/>
        <v>0</v>
      </c>
      <c r="P32" s="1989"/>
      <c r="Q32" s="1990"/>
    </row>
    <row r="33" spans="1:17" ht="12.75" customHeight="1" x14ac:dyDescent="0.25">
      <c r="A33" s="1914"/>
      <c r="B33" s="1827"/>
      <c r="C33" s="2687" t="s">
        <v>2715</v>
      </c>
      <c r="D33" s="1942"/>
      <c r="E33" s="1942"/>
      <c r="F33" s="1915"/>
      <c r="G33" s="1987" t="s">
        <v>24</v>
      </c>
      <c r="H33" s="1988" t="s">
        <v>27</v>
      </c>
      <c r="I33" s="2344"/>
      <c r="J33" s="1608"/>
      <c r="K33" s="1606"/>
      <c r="L33" s="1630">
        <v>2000000</v>
      </c>
      <c r="M33" s="1629"/>
      <c r="N33" s="1606">
        <f t="shared" si="0"/>
        <v>0</v>
      </c>
      <c r="O33" s="1628">
        <f t="shared" si="1"/>
        <v>0</v>
      </c>
      <c r="P33" s="1989"/>
      <c r="Q33" s="1990"/>
    </row>
    <row r="34" spans="1:17" ht="12.75" customHeight="1" x14ac:dyDescent="0.25">
      <c r="A34" s="1914"/>
      <c r="B34" s="1827"/>
      <c r="C34" s="2687" t="s">
        <v>2711</v>
      </c>
      <c r="D34" s="1942"/>
      <c r="E34" s="1942"/>
      <c r="F34" s="1915"/>
      <c r="G34" s="1987" t="s">
        <v>24</v>
      </c>
      <c r="H34" s="1988" t="s">
        <v>27</v>
      </c>
      <c r="I34" s="2344"/>
      <c r="J34" s="1608"/>
      <c r="K34" s="1606">
        <v>7321978.8100000005</v>
      </c>
      <c r="L34" s="1630"/>
      <c r="M34" s="1629"/>
      <c r="N34" s="1606">
        <f t="shared" si="0"/>
        <v>0</v>
      </c>
      <c r="O34" s="1628">
        <f t="shared" si="1"/>
        <v>0</v>
      </c>
      <c r="P34" s="1989"/>
      <c r="Q34" s="1990"/>
    </row>
    <row r="35" spans="1:17" ht="12.75" customHeight="1" x14ac:dyDescent="0.25">
      <c r="A35" s="1914"/>
      <c r="B35" s="1827"/>
      <c r="C35" s="2687" t="s">
        <v>2721</v>
      </c>
      <c r="D35" s="1942"/>
      <c r="E35" s="1942"/>
      <c r="F35" s="1915"/>
      <c r="G35" s="1987" t="s">
        <v>24</v>
      </c>
      <c r="H35" s="1988" t="s">
        <v>27</v>
      </c>
      <c r="I35" s="2344"/>
      <c r="J35" s="1608"/>
      <c r="K35" s="1606">
        <v>5909123.0499999998</v>
      </c>
      <c r="L35" s="1630">
        <v>2000000</v>
      </c>
      <c r="M35" s="1629"/>
      <c r="N35" s="1606">
        <f t="shared" si="0"/>
        <v>0</v>
      </c>
      <c r="O35" s="1628">
        <f t="shared" si="1"/>
        <v>0</v>
      </c>
      <c r="P35" s="1989"/>
      <c r="Q35" s="1990"/>
    </row>
    <row r="36" spans="1:17" ht="12.75" customHeight="1" x14ac:dyDescent="0.25">
      <c r="A36" s="1914"/>
      <c r="B36" s="1827"/>
      <c r="C36" s="2687" t="s">
        <v>2731</v>
      </c>
      <c r="D36" s="1942"/>
      <c r="E36" s="1942"/>
      <c r="F36" s="1915"/>
      <c r="G36" s="1987" t="s">
        <v>24</v>
      </c>
      <c r="H36" s="1988" t="s">
        <v>27</v>
      </c>
      <c r="I36" s="2344" t="s">
        <v>2905</v>
      </c>
      <c r="J36" s="1608"/>
      <c r="K36" s="1606"/>
      <c r="L36" s="1630">
        <v>2000000</v>
      </c>
      <c r="M36" s="1629">
        <v>0</v>
      </c>
      <c r="N36" s="1606">
        <f t="shared" si="0"/>
        <v>0</v>
      </c>
      <c r="O36" s="1628">
        <f t="shared" si="1"/>
        <v>0</v>
      </c>
      <c r="P36" s="1989"/>
      <c r="Q36" s="1990"/>
    </row>
    <row r="37" spans="1:17" ht="12.75" customHeight="1" x14ac:dyDescent="0.25">
      <c r="A37" s="1992"/>
      <c r="B37" s="1827"/>
      <c r="C37" s="2687" t="s">
        <v>2737</v>
      </c>
      <c r="D37" s="1942"/>
      <c r="E37" s="1942"/>
      <c r="F37" s="1915"/>
      <c r="G37" s="1987" t="s">
        <v>24</v>
      </c>
      <c r="H37" s="1988" t="s">
        <v>27</v>
      </c>
      <c r="I37" s="2344"/>
      <c r="J37" s="1608"/>
      <c r="K37" s="1606">
        <v>379065.18</v>
      </c>
      <c r="L37" s="1630">
        <v>1220000</v>
      </c>
      <c r="M37" s="1629"/>
      <c r="N37" s="1606">
        <f t="shared" si="0"/>
        <v>0</v>
      </c>
      <c r="O37" s="1628">
        <f t="shared" si="1"/>
        <v>0</v>
      </c>
      <c r="P37" s="1989"/>
      <c r="Q37" s="1990"/>
    </row>
    <row r="38" spans="1:17" ht="12.75" customHeight="1" x14ac:dyDescent="0.25">
      <c r="A38" s="1993"/>
      <c r="B38" s="1827"/>
      <c r="C38" s="2687" t="s">
        <v>2821</v>
      </c>
      <c r="D38" s="1942"/>
      <c r="E38" s="1942"/>
      <c r="F38" s="1915"/>
      <c r="G38" s="1987" t="s">
        <v>24</v>
      </c>
      <c r="H38" s="1988" t="s">
        <v>27</v>
      </c>
      <c r="I38" s="2344"/>
      <c r="J38" s="1608"/>
      <c r="K38" s="1606"/>
      <c r="L38" s="1630">
        <v>1000000</v>
      </c>
      <c r="M38" s="1629"/>
      <c r="N38" s="1606">
        <f t="shared" si="0"/>
        <v>0</v>
      </c>
      <c r="O38" s="1628">
        <f t="shared" si="1"/>
        <v>0</v>
      </c>
      <c r="P38" s="1989"/>
      <c r="Q38" s="1990"/>
    </row>
    <row r="39" spans="1:17" ht="12.75" customHeight="1" x14ac:dyDescent="0.25">
      <c r="A39" s="1914"/>
      <c r="B39" s="1827"/>
      <c r="C39" s="2687" t="s">
        <v>2743</v>
      </c>
      <c r="D39" s="1942"/>
      <c r="E39" s="1942"/>
      <c r="F39" s="1915"/>
      <c r="G39" s="1987" t="s">
        <v>24</v>
      </c>
      <c r="H39" s="1988" t="s">
        <v>27</v>
      </c>
      <c r="I39" s="2344" t="s">
        <v>2906</v>
      </c>
      <c r="J39" s="1608"/>
      <c r="K39" s="1606"/>
      <c r="L39" s="1630"/>
      <c r="M39" s="1629">
        <v>0</v>
      </c>
      <c r="N39" s="1606">
        <f t="shared" si="0"/>
        <v>0</v>
      </c>
      <c r="O39" s="1628">
        <f t="shared" si="1"/>
        <v>0</v>
      </c>
      <c r="P39" s="1989"/>
      <c r="Q39" s="1990"/>
    </row>
    <row r="40" spans="1:17" ht="12.75" customHeight="1" x14ac:dyDescent="0.25">
      <c r="A40" s="1914"/>
      <c r="B40" s="1827"/>
      <c r="C40" s="2687" t="s">
        <v>2744</v>
      </c>
      <c r="D40" s="1942"/>
      <c r="E40" s="1942"/>
      <c r="F40" s="1915"/>
      <c r="G40" s="1987" t="s">
        <v>24</v>
      </c>
      <c r="H40" s="1988" t="s">
        <v>27</v>
      </c>
      <c r="I40" s="2344"/>
      <c r="J40" s="1608"/>
      <c r="K40" s="1606"/>
      <c r="L40" s="1630"/>
      <c r="M40" s="1629"/>
      <c r="N40" s="1606">
        <f t="shared" si="0"/>
        <v>0</v>
      </c>
      <c r="O40" s="1628">
        <f t="shared" si="1"/>
        <v>0</v>
      </c>
      <c r="P40" s="1989"/>
      <c r="Q40" s="1990"/>
    </row>
    <row r="41" spans="1:17" ht="12.75" customHeight="1" x14ac:dyDescent="0.25">
      <c r="A41" s="1914"/>
      <c r="B41" s="1827"/>
      <c r="C41" s="2687" t="s">
        <v>2745</v>
      </c>
      <c r="D41" s="1942"/>
      <c r="E41" s="1942"/>
      <c r="F41" s="1915"/>
      <c r="G41" s="1987" t="s">
        <v>24</v>
      </c>
      <c r="H41" s="1988" t="s">
        <v>27</v>
      </c>
      <c r="I41" s="2344" t="s">
        <v>2907</v>
      </c>
      <c r="J41" s="1608"/>
      <c r="K41" s="1606"/>
      <c r="L41" s="1630"/>
      <c r="M41" s="1629">
        <v>0</v>
      </c>
      <c r="N41" s="1606">
        <f t="shared" si="0"/>
        <v>0</v>
      </c>
      <c r="O41" s="1628">
        <f t="shared" si="1"/>
        <v>0</v>
      </c>
      <c r="P41" s="1989"/>
      <c r="Q41" s="1990"/>
    </row>
    <row r="42" spans="1:17" ht="12.75" customHeight="1" x14ac:dyDescent="0.25">
      <c r="A42" s="1992"/>
      <c r="B42" s="1827"/>
      <c r="C42" s="2687" t="s">
        <v>2746</v>
      </c>
      <c r="D42" s="1942"/>
      <c r="E42" s="1942"/>
      <c r="F42" s="1915"/>
      <c r="G42" s="1987" t="s">
        <v>24</v>
      </c>
      <c r="H42" s="1988" t="s">
        <v>27</v>
      </c>
      <c r="I42" s="2344" t="s">
        <v>2907</v>
      </c>
      <c r="J42" s="1608"/>
      <c r="K42" s="1606">
        <v>605762.36</v>
      </c>
      <c r="L42" s="1630"/>
      <c r="M42" s="1629">
        <v>0</v>
      </c>
      <c r="N42" s="1606">
        <f t="shared" si="0"/>
        <v>0</v>
      </c>
      <c r="O42" s="1628">
        <f t="shared" si="1"/>
        <v>0</v>
      </c>
      <c r="P42" s="1989"/>
      <c r="Q42" s="1990"/>
    </row>
    <row r="43" spans="1:17" ht="12.75" customHeight="1" x14ac:dyDescent="0.25">
      <c r="A43" s="1914"/>
      <c r="B43" s="1827"/>
      <c r="C43" s="2687" t="s">
        <v>2747</v>
      </c>
      <c r="D43" s="1942"/>
      <c r="E43" s="1942"/>
      <c r="F43" s="1915"/>
      <c r="G43" s="1987" t="s">
        <v>24</v>
      </c>
      <c r="H43" s="1988" t="s">
        <v>27</v>
      </c>
      <c r="I43" s="2344"/>
      <c r="J43" s="1608"/>
      <c r="K43" s="1606"/>
      <c r="L43" s="1630"/>
      <c r="M43" s="1629"/>
      <c r="N43" s="1606">
        <f t="shared" si="0"/>
        <v>0</v>
      </c>
      <c r="O43" s="1628">
        <f t="shared" si="1"/>
        <v>0</v>
      </c>
      <c r="P43" s="1989"/>
      <c r="Q43" s="1990"/>
    </row>
    <row r="44" spans="1:17" ht="12.75" customHeight="1" x14ac:dyDescent="0.25">
      <c r="A44" s="1914"/>
      <c r="B44" s="1827"/>
      <c r="C44" s="2687" t="s">
        <v>2748</v>
      </c>
      <c r="D44" s="1942"/>
      <c r="E44" s="1942"/>
      <c r="F44" s="1915"/>
      <c r="G44" s="1987" t="s">
        <v>24</v>
      </c>
      <c r="H44" s="1988" t="s">
        <v>27</v>
      </c>
      <c r="I44" s="2344"/>
      <c r="J44" s="1608"/>
      <c r="K44" s="1606">
        <v>3303941.5700000003</v>
      </c>
      <c r="L44" s="1630"/>
      <c r="M44" s="1629"/>
      <c r="N44" s="1606">
        <f t="shared" si="0"/>
        <v>0</v>
      </c>
      <c r="O44" s="1628">
        <f t="shared" si="1"/>
        <v>0</v>
      </c>
      <c r="P44" s="1989"/>
      <c r="Q44" s="1990"/>
    </row>
    <row r="45" spans="1:17" ht="12.75" customHeight="1" x14ac:dyDescent="0.25">
      <c r="A45" s="1914"/>
      <c r="B45" s="1827"/>
      <c r="C45" s="2687" t="s">
        <v>2750</v>
      </c>
      <c r="D45" s="1942"/>
      <c r="E45" s="1942"/>
      <c r="F45" s="1915"/>
      <c r="G45" s="1987" t="s">
        <v>24</v>
      </c>
      <c r="H45" s="1988" t="s">
        <v>27</v>
      </c>
      <c r="I45" s="2344"/>
      <c r="J45" s="1608"/>
      <c r="K45" s="1606">
        <v>3729940.9400000004</v>
      </c>
      <c r="L45" s="1630"/>
      <c r="M45" s="1629"/>
      <c r="N45" s="1606">
        <f t="shared" si="0"/>
        <v>0</v>
      </c>
      <c r="O45" s="1628">
        <f t="shared" si="1"/>
        <v>0</v>
      </c>
      <c r="P45" s="1989"/>
      <c r="Q45" s="1990"/>
    </row>
    <row r="46" spans="1:17" ht="12.75" customHeight="1" x14ac:dyDescent="0.25">
      <c r="A46" s="1914"/>
      <c r="B46" s="1827"/>
      <c r="C46" s="2687" t="s">
        <v>2727</v>
      </c>
      <c r="D46" s="1942"/>
      <c r="E46" s="1942"/>
      <c r="F46" s="1915"/>
      <c r="G46" s="1987" t="s">
        <v>21</v>
      </c>
      <c r="H46" s="1988" t="s">
        <v>137</v>
      </c>
      <c r="I46" s="2344" t="s">
        <v>2908</v>
      </c>
      <c r="J46" s="1608"/>
      <c r="K46" s="1606">
        <v>786111.67</v>
      </c>
      <c r="L46" s="1630">
        <v>500000</v>
      </c>
      <c r="M46" s="1629">
        <v>176918</v>
      </c>
      <c r="N46" s="1606">
        <f t="shared" si="0"/>
        <v>187356.16199999998</v>
      </c>
      <c r="O46" s="1628">
        <f t="shared" si="1"/>
        <v>197848.10707199998</v>
      </c>
      <c r="P46" s="1989" t="s">
        <v>2862</v>
      </c>
      <c r="Q46" s="1990"/>
    </row>
    <row r="47" spans="1:17" ht="12.75" customHeight="1" x14ac:dyDescent="0.25">
      <c r="A47" s="1914"/>
      <c r="B47" s="1827"/>
      <c r="C47" s="2687" t="s">
        <v>2736</v>
      </c>
      <c r="D47" s="1942"/>
      <c r="E47" s="1942"/>
      <c r="F47" s="1915"/>
      <c r="G47" s="1987" t="s">
        <v>21</v>
      </c>
      <c r="H47" s="1988" t="s">
        <v>137</v>
      </c>
      <c r="I47" s="2344"/>
      <c r="J47" s="1608"/>
      <c r="K47" s="1606"/>
      <c r="L47" s="1630">
        <v>1000000</v>
      </c>
      <c r="M47" s="1629"/>
      <c r="N47" s="1606">
        <f t="shared" si="0"/>
        <v>0</v>
      </c>
      <c r="O47" s="1628">
        <f t="shared" si="1"/>
        <v>0</v>
      </c>
      <c r="P47" s="1989"/>
      <c r="Q47" s="1990"/>
    </row>
    <row r="48" spans="1:17" ht="12.75" customHeight="1" x14ac:dyDescent="0.25">
      <c r="A48" s="1914"/>
      <c r="B48" s="1827"/>
      <c r="C48" s="2687" t="s">
        <v>2741</v>
      </c>
      <c r="D48" s="1942"/>
      <c r="E48" s="1942"/>
      <c r="F48" s="1915"/>
      <c r="G48" s="1987" t="s">
        <v>21</v>
      </c>
      <c r="H48" s="1988" t="s">
        <v>137</v>
      </c>
      <c r="I48" s="2344"/>
      <c r="J48" s="1608"/>
      <c r="K48" s="1606"/>
      <c r="L48" s="1630">
        <v>500000</v>
      </c>
      <c r="M48" s="1629"/>
      <c r="N48" s="1606">
        <f t="shared" si="0"/>
        <v>0</v>
      </c>
      <c r="O48" s="1628">
        <f t="shared" si="1"/>
        <v>0</v>
      </c>
      <c r="P48" s="1989"/>
      <c r="Q48" s="1990"/>
    </row>
    <row r="49" spans="1:17" ht="12.75" customHeight="1" x14ac:dyDescent="0.25">
      <c r="A49" s="1914"/>
      <c r="B49" s="1827"/>
      <c r="C49" s="2687" t="s">
        <v>2752</v>
      </c>
      <c r="D49" s="1942"/>
      <c r="E49" s="1942"/>
      <c r="F49" s="1915"/>
      <c r="G49" s="1987" t="s">
        <v>21</v>
      </c>
      <c r="H49" s="1988" t="s">
        <v>137</v>
      </c>
      <c r="I49" s="2344" t="s">
        <v>2909</v>
      </c>
      <c r="J49" s="1608"/>
      <c r="K49" s="1606">
        <v>645407.69999999995</v>
      </c>
      <c r="L49" s="1630"/>
      <c r="M49" s="1629">
        <v>232144</v>
      </c>
      <c r="N49" s="1606">
        <f t="shared" si="0"/>
        <v>245840.49599999998</v>
      </c>
      <c r="O49" s="1628">
        <f t="shared" si="1"/>
        <v>259607.563776</v>
      </c>
      <c r="P49" s="1989"/>
      <c r="Q49" s="1990"/>
    </row>
    <row r="50" spans="1:17" ht="12.75" customHeight="1" x14ac:dyDescent="0.25">
      <c r="A50" s="1914"/>
      <c r="B50" s="1827"/>
      <c r="C50" s="2687" t="s">
        <v>2753</v>
      </c>
      <c r="D50" s="1942"/>
      <c r="E50" s="1942"/>
      <c r="F50" s="1915"/>
      <c r="G50" s="1987" t="s">
        <v>21</v>
      </c>
      <c r="H50" s="1988" t="s">
        <v>137</v>
      </c>
      <c r="I50" s="2344"/>
      <c r="J50" s="1608"/>
      <c r="K50" s="1606">
        <v>779106.47</v>
      </c>
      <c r="L50" s="1630"/>
      <c r="M50" s="1629"/>
      <c r="N50" s="1606">
        <f t="shared" si="0"/>
        <v>0</v>
      </c>
      <c r="O50" s="1628">
        <f t="shared" si="1"/>
        <v>0</v>
      </c>
      <c r="P50" s="1989" t="s">
        <v>2863</v>
      </c>
      <c r="Q50" s="1990"/>
    </row>
    <row r="51" spans="1:17" ht="12.75" customHeight="1" x14ac:dyDescent="0.25">
      <c r="A51" s="1914"/>
      <c r="B51" s="1827"/>
      <c r="C51" s="2687" t="s">
        <v>2754</v>
      </c>
      <c r="D51" s="1942"/>
      <c r="E51" s="1942"/>
      <c r="F51" s="1915"/>
      <c r="G51" s="1987" t="s">
        <v>21</v>
      </c>
      <c r="H51" s="1988" t="s">
        <v>137</v>
      </c>
      <c r="I51" s="2344" t="s">
        <v>2910</v>
      </c>
      <c r="J51" s="1608"/>
      <c r="K51" s="1606">
        <v>1020374.94</v>
      </c>
      <c r="L51" s="1630"/>
      <c r="M51" s="1629">
        <v>550000</v>
      </c>
      <c r="N51" s="1606">
        <f t="shared" si="0"/>
        <v>582450</v>
      </c>
      <c r="O51" s="1628">
        <f t="shared" si="1"/>
        <v>615067.20000000007</v>
      </c>
      <c r="P51" s="1989"/>
      <c r="Q51" s="1990"/>
    </row>
    <row r="52" spans="1:17" ht="12.75" customHeight="1" x14ac:dyDescent="0.25">
      <c r="A52" s="1914"/>
      <c r="B52" s="1827"/>
      <c r="C52" s="2687" t="s">
        <v>2755</v>
      </c>
      <c r="D52" s="1942"/>
      <c r="E52" s="1942"/>
      <c r="F52" s="1915"/>
      <c r="G52" s="1987" t="s">
        <v>21</v>
      </c>
      <c r="H52" s="1988" t="s">
        <v>137</v>
      </c>
      <c r="I52" s="2344" t="s">
        <v>2911</v>
      </c>
      <c r="J52" s="1608"/>
      <c r="K52" s="1606">
        <v>354430.84</v>
      </c>
      <c r="L52" s="1630"/>
      <c r="M52" s="1629">
        <v>1034279</v>
      </c>
      <c r="N52" s="1606">
        <f t="shared" si="0"/>
        <v>1095301.4609999999</v>
      </c>
      <c r="O52" s="1628">
        <f t="shared" si="1"/>
        <v>1156638.3428159999</v>
      </c>
      <c r="P52" s="1989"/>
      <c r="Q52" s="1990"/>
    </row>
    <row r="53" spans="1:17" ht="12.75" customHeight="1" x14ac:dyDescent="0.25">
      <c r="A53" s="1914"/>
      <c r="B53" s="1827"/>
      <c r="C53" s="2687" t="s">
        <v>2756</v>
      </c>
      <c r="D53" s="1942"/>
      <c r="E53" s="1942"/>
      <c r="F53" s="1915"/>
      <c r="G53" s="1987" t="s">
        <v>21</v>
      </c>
      <c r="H53" s="1988" t="s">
        <v>137</v>
      </c>
      <c r="I53" s="2344" t="s">
        <v>2912</v>
      </c>
      <c r="J53" s="1608"/>
      <c r="K53" s="1606">
        <v>555345.47</v>
      </c>
      <c r="L53" s="1630"/>
      <c r="M53" s="1629">
        <v>200000</v>
      </c>
      <c r="N53" s="1606">
        <f t="shared" si="0"/>
        <v>211800</v>
      </c>
      <c r="O53" s="1628">
        <f t="shared" si="1"/>
        <v>223660.80000000002</v>
      </c>
      <c r="P53" s="1989"/>
      <c r="Q53" s="1990"/>
    </row>
    <row r="54" spans="1:17" ht="12.75" customHeight="1" x14ac:dyDescent="0.25">
      <c r="A54" s="1914"/>
      <c r="B54" s="1827"/>
      <c r="C54" s="2687" t="s">
        <v>2757</v>
      </c>
      <c r="D54" s="1942"/>
      <c r="E54" s="1942"/>
      <c r="F54" s="1915"/>
      <c r="G54" s="1987" t="s">
        <v>21</v>
      </c>
      <c r="H54" s="1988" t="s">
        <v>137</v>
      </c>
      <c r="I54" s="2344" t="s">
        <v>2913</v>
      </c>
      <c r="J54" s="1608"/>
      <c r="K54" s="1606">
        <v>289865.7</v>
      </c>
      <c r="L54" s="1630"/>
      <c r="M54" s="1629">
        <v>300000</v>
      </c>
      <c r="N54" s="1606">
        <f t="shared" si="0"/>
        <v>317700</v>
      </c>
      <c r="O54" s="1628">
        <f t="shared" si="1"/>
        <v>335491.20000000001</v>
      </c>
      <c r="P54" s="1989"/>
      <c r="Q54" s="1990"/>
    </row>
    <row r="55" spans="1:17" ht="12.75" customHeight="1" x14ac:dyDescent="0.25">
      <c r="A55" s="1914"/>
      <c r="B55" s="1827"/>
      <c r="C55" s="2687" t="s">
        <v>2758</v>
      </c>
      <c r="D55" s="1942"/>
      <c r="E55" s="1942"/>
      <c r="F55" s="1915"/>
      <c r="G55" s="1987" t="s">
        <v>21</v>
      </c>
      <c r="H55" s="1988" t="s">
        <v>137</v>
      </c>
      <c r="I55" s="2344" t="s">
        <v>2914</v>
      </c>
      <c r="J55" s="1608"/>
      <c r="K55" s="1606">
        <v>103076.4</v>
      </c>
      <c r="L55" s="1630"/>
      <c r="M55" s="1629">
        <v>300000</v>
      </c>
      <c r="N55" s="1606">
        <f t="shared" si="0"/>
        <v>317700</v>
      </c>
      <c r="O55" s="1628">
        <f t="shared" si="1"/>
        <v>335491.20000000001</v>
      </c>
      <c r="P55" s="1989"/>
      <c r="Q55" s="1990"/>
    </row>
    <row r="56" spans="1:17" ht="12.75" customHeight="1" x14ac:dyDescent="0.25">
      <c r="A56" s="1914"/>
      <c r="B56" s="1827"/>
      <c r="C56" s="2687" t="s">
        <v>2759</v>
      </c>
      <c r="D56" s="1942"/>
      <c r="E56" s="1942"/>
      <c r="F56" s="1915"/>
      <c r="G56" s="1987" t="s">
        <v>21</v>
      </c>
      <c r="H56" s="1988" t="s">
        <v>137</v>
      </c>
      <c r="I56" s="2344" t="s">
        <v>2915</v>
      </c>
      <c r="J56" s="1608"/>
      <c r="K56" s="1606">
        <v>533151.22</v>
      </c>
      <c r="L56" s="1630"/>
      <c r="M56" s="1629">
        <v>306192</v>
      </c>
      <c r="N56" s="1606">
        <f t="shared" si="0"/>
        <v>324257.32799999998</v>
      </c>
      <c r="O56" s="1628">
        <f t="shared" si="1"/>
        <v>342415.73836800002</v>
      </c>
      <c r="P56" s="1989"/>
      <c r="Q56" s="1990"/>
    </row>
    <row r="57" spans="1:17" ht="12.75" customHeight="1" x14ac:dyDescent="0.25">
      <c r="A57" s="1914"/>
      <c r="B57" s="1827"/>
      <c r="C57" s="2687" t="s">
        <v>2760</v>
      </c>
      <c r="D57" s="1942"/>
      <c r="E57" s="1942"/>
      <c r="F57" s="1915"/>
      <c r="G57" s="1987" t="s">
        <v>21</v>
      </c>
      <c r="H57" s="1988" t="s">
        <v>137</v>
      </c>
      <c r="I57" s="2344"/>
      <c r="J57" s="1608"/>
      <c r="K57" s="1606">
        <v>417241.96</v>
      </c>
      <c r="L57" s="1630"/>
      <c r="M57" s="1629"/>
      <c r="N57" s="1606">
        <f t="shared" si="0"/>
        <v>0</v>
      </c>
      <c r="O57" s="1628">
        <f t="shared" si="1"/>
        <v>0</v>
      </c>
      <c r="P57" s="1989"/>
      <c r="Q57" s="1990"/>
    </row>
    <row r="58" spans="1:17" ht="12.75" customHeight="1" x14ac:dyDescent="0.25">
      <c r="A58" s="1914"/>
      <c r="B58" s="1827"/>
      <c r="C58" s="2687" t="s">
        <v>2761</v>
      </c>
      <c r="D58" s="1942"/>
      <c r="E58" s="1942"/>
      <c r="F58" s="1915"/>
      <c r="G58" s="1987" t="s">
        <v>21</v>
      </c>
      <c r="H58" s="1988" t="s">
        <v>137</v>
      </c>
      <c r="I58" s="2344" t="s">
        <v>2916</v>
      </c>
      <c r="J58" s="1608"/>
      <c r="K58" s="1606">
        <v>224978.68</v>
      </c>
      <c r="L58" s="1630"/>
      <c r="M58" s="1629">
        <v>352000</v>
      </c>
      <c r="N58" s="1606">
        <f t="shared" si="0"/>
        <v>372768</v>
      </c>
      <c r="O58" s="1628">
        <f t="shared" si="1"/>
        <v>393643.00800000003</v>
      </c>
      <c r="P58" s="1989"/>
      <c r="Q58" s="1990"/>
    </row>
    <row r="59" spans="1:17" ht="12.75" customHeight="1" x14ac:dyDescent="0.25">
      <c r="A59" s="1914"/>
      <c r="B59" s="1827"/>
      <c r="C59" s="2687" t="s">
        <v>2762</v>
      </c>
      <c r="D59" s="1942"/>
      <c r="E59" s="1942"/>
      <c r="F59" s="1915"/>
      <c r="G59" s="1987" t="s">
        <v>21</v>
      </c>
      <c r="H59" s="1988" t="s">
        <v>137</v>
      </c>
      <c r="I59" s="2344"/>
      <c r="J59" s="1608"/>
      <c r="K59" s="1606">
        <v>199001.3</v>
      </c>
      <c r="L59" s="1630"/>
      <c r="M59" s="1629"/>
      <c r="N59" s="1606">
        <f t="shared" si="0"/>
        <v>0</v>
      </c>
      <c r="O59" s="1628">
        <f t="shared" si="1"/>
        <v>0</v>
      </c>
      <c r="P59" s="1989"/>
      <c r="Q59" s="1990"/>
    </row>
    <row r="60" spans="1:17" ht="12.75" customHeight="1" x14ac:dyDescent="0.25">
      <c r="A60" s="1914"/>
      <c r="B60" s="1827"/>
      <c r="C60" s="2687" t="s">
        <v>2763</v>
      </c>
      <c r="D60" s="1942"/>
      <c r="E60" s="1942"/>
      <c r="F60" s="1915"/>
      <c r="G60" s="1987" t="s">
        <v>21</v>
      </c>
      <c r="H60" s="1988" t="s">
        <v>137</v>
      </c>
      <c r="I60" s="2344" t="s">
        <v>2917</v>
      </c>
      <c r="J60" s="1608"/>
      <c r="K60" s="1606">
        <v>367435.14</v>
      </c>
      <c r="L60" s="1630"/>
      <c r="M60" s="1629">
        <v>253206</v>
      </c>
      <c r="N60" s="1606">
        <f t="shared" si="0"/>
        <v>268145.15399999998</v>
      </c>
      <c r="O60" s="1628">
        <f t="shared" si="1"/>
        <v>283161.28262399998</v>
      </c>
      <c r="P60" s="1989"/>
      <c r="Q60" s="1990"/>
    </row>
    <row r="61" spans="1:17" ht="12.75" customHeight="1" x14ac:dyDescent="0.25">
      <c r="A61" s="1914"/>
      <c r="B61" s="1827"/>
      <c r="C61" s="2687" t="s">
        <v>2796</v>
      </c>
      <c r="D61" s="1942"/>
      <c r="E61" s="1942"/>
      <c r="F61" s="1915"/>
      <c r="G61" s="1987" t="s">
        <v>21</v>
      </c>
      <c r="H61" s="1988" t="s">
        <v>137</v>
      </c>
      <c r="I61" s="2344" t="s">
        <v>2918</v>
      </c>
      <c r="J61" s="1608"/>
      <c r="K61" s="1606"/>
      <c r="L61" s="1630"/>
      <c r="M61" s="1629">
        <v>244000</v>
      </c>
      <c r="N61" s="1606">
        <f t="shared" si="0"/>
        <v>258396</v>
      </c>
      <c r="O61" s="1628">
        <f t="shared" si="1"/>
        <v>272866.17600000004</v>
      </c>
      <c r="P61" s="1989"/>
      <c r="Q61" s="1990"/>
    </row>
    <row r="62" spans="1:17" ht="12.75" customHeight="1" x14ac:dyDescent="0.25">
      <c r="A62" s="1914"/>
      <c r="B62" s="1827"/>
      <c r="C62" s="2687" t="s">
        <v>2797</v>
      </c>
      <c r="D62" s="1942"/>
      <c r="E62" s="1942"/>
      <c r="F62" s="1915"/>
      <c r="G62" s="1987" t="s">
        <v>21</v>
      </c>
      <c r="H62" s="1988" t="s">
        <v>137</v>
      </c>
      <c r="I62" s="2344" t="s">
        <v>2911</v>
      </c>
      <c r="J62" s="1608"/>
      <c r="K62" s="1606"/>
      <c r="L62" s="1630"/>
      <c r="M62" s="1629">
        <v>1743603</v>
      </c>
      <c r="N62" s="1606">
        <f t="shared" si="0"/>
        <v>1846475.5769999998</v>
      </c>
      <c r="O62" s="1628">
        <f t="shared" si="1"/>
        <v>1949878.2093119998</v>
      </c>
      <c r="P62" s="1989"/>
      <c r="Q62" s="1990"/>
    </row>
    <row r="63" spans="1:17" ht="12.75" customHeight="1" x14ac:dyDescent="0.25">
      <c r="A63" s="1914"/>
      <c r="B63" s="1827"/>
      <c r="C63" s="2687" t="s">
        <v>2712</v>
      </c>
      <c r="D63" s="1942"/>
      <c r="E63" s="1942"/>
      <c r="F63" s="1915"/>
      <c r="G63" s="1987" t="s">
        <v>21</v>
      </c>
      <c r="H63" s="1988" t="s">
        <v>137</v>
      </c>
      <c r="I63" s="2344"/>
      <c r="J63" s="1608"/>
      <c r="K63" s="1606"/>
      <c r="L63" s="1630"/>
      <c r="M63" s="1629"/>
      <c r="N63" s="1606">
        <f t="shared" si="0"/>
        <v>0</v>
      </c>
      <c r="O63" s="1628">
        <f t="shared" si="1"/>
        <v>0</v>
      </c>
      <c r="P63" s="1989"/>
      <c r="Q63" s="1990"/>
    </row>
    <row r="64" spans="1:17" ht="12.75" customHeight="1" x14ac:dyDescent="0.25">
      <c r="A64" s="1914"/>
      <c r="B64" s="1827"/>
      <c r="C64" s="2687" t="s">
        <v>2703</v>
      </c>
      <c r="D64" s="1942"/>
      <c r="E64" s="1942"/>
      <c r="F64" s="1915"/>
      <c r="G64" s="1987" t="s">
        <v>21</v>
      </c>
      <c r="H64" s="1988" t="s">
        <v>137</v>
      </c>
      <c r="I64" s="2344"/>
      <c r="J64" s="1608"/>
      <c r="K64" s="1606"/>
      <c r="L64" s="1630"/>
      <c r="M64" s="1629"/>
      <c r="N64" s="1606">
        <f t="shared" si="0"/>
        <v>0</v>
      </c>
      <c r="O64" s="1628">
        <f t="shared" si="1"/>
        <v>0</v>
      </c>
      <c r="P64" s="1989"/>
      <c r="Q64" s="1990"/>
    </row>
    <row r="65" spans="1:17" ht="12.75" customHeight="1" x14ac:dyDescent="0.25">
      <c r="A65" s="1914"/>
      <c r="B65" s="1827"/>
      <c r="C65" s="2687" t="s">
        <v>2735</v>
      </c>
      <c r="D65" s="1942"/>
      <c r="E65" s="1942"/>
      <c r="F65" s="1915"/>
      <c r="G65" s="1987" t="s">
        <v>21</v>
      </c>
      <c r="H65" s="1988" t="s">
        <v>137</v>
      </c>
      <c r="I65" s="2344"/>
      <c r="J65" s="1608"/>
      <c r="K65" s="1606"/>
      <c r="L65" s="1630">
        <v>1000000</v>
      </c>
      <c r="M65" s="1629"/>
      <c r="N65" s="1606">
        <f t="shared" si="0"/>
        <v>0</v>
      </c>
      <c r="O65" s="1628">
        <f t="shared" si="1"/>
        <v>0</v>
      </c>
      <c r="P65" s="1989"/>
      <c r="Q65" s="1990"/>
    </row>
    <row r="66" spans="1:17" ht="12.75" customHeight="1" x14ac:dyDescent="0.25">
      <c r="A66" s="1914"/>
      <c r="B66" s="1827"/>
      <c r="C66" s="2687" t="s">
        <v>2764</v>
      </c>
      <c r="D66" s="1942"/>
      <c r="E66" s="1942"/>
      <c r="F66" s="1915"/>
      <c r="G66" s="1987" t="s">
        <v>21</v>
      </c>
      <c r="H66" s="1988" t="s">
        <v>137</v>
      </c>
      <c r="I66" s="2344" t="s">
        <v>2938</v>
      </c>
      <c r="J66" s="1608"/>
      <c r="K66" s="1606">
        <v>233393.57</v>
      </c>
      <c r="L66" s="1630"/>
      <c r="M66" s="1629">
        <v>417220</v>
      </c>
      <c r="N66" s="1606">
        <f t="shared" si="0"/>
        <v>441835.98</v>
      </c>
      <c r="O66" s="1628">
        <f t="shared" si="1"/>
        <v>466578.79488</v>
      </c>
      <c r="P66" s="1989"/>
      <c r="Q66" s="1990"/>
    </row>
    <row r="67" spans="1:17" ht="12.75" customHeight="1" x14ac:dyDescent="0.25">
      <c r="A67" s="1914"/>
      <c r="B67" s="1827"/>
      <c r="C67" s="2687" t="s">
        <v>2785</v>
      </c>
      <c r="D67" s="1942"/>
      <c r="E67" s="1942"/>
      <c r="F67" s="1915"/>
      <c r="G67" s="1987" t="s">
        <v>21</v>
      </c>
      <c r="H67" s="1988" t="s">
        <v>137</v>
      </c>
      <c r="I67" s="2344" t="s">
        <v>2939</v>
      </c>
      <c r="J67" s="1608"/>
      <c r="K67" s="1606"/>
      <c r="L67" s="1630"/>
      <c r="M67" s="1629">
        <v>100000</v>
      </c>
      <c r="N67" s="1606">
        <f t="shared" si="0"/>
        <v>105900</v>
      </c>
      <c r="O67" s="1628">
        <f t="shared" si="1"/>
        <v>111830.40000000001</v>
      </c>
      <c r="P67" s="1989"/>
      <c r="Q67" s="1990"/>
    </row>
    <row r="68" spans="1:17" ht="12.75" customHeight="1" x14ac:dyDescent="0.25">
      <c r="A68" s="1914"/>
      <c r="B68" s="1827"/>
      <c r="C68" s="2687" t="s">
        <v>2786</v>
      </c>
      <c r="D68" s="1942"/>
      <c r="E68" s="1942"/>
      <c r="F68" s="1915"/>
      <c r="G68" s="1987" t="s">
        <v>21</v>
      </c>
      <c r="H68" s="1988" t="s">
        <v>137</v>
      </c>
      <c r="I68" s="2344" t="s">
        <v>2940</v>
      </c>
      <c r="J68" s="1608"/>
      <c r="K68" s="1606"/>
      <c r="L68" s="1630"/>
      <c r="M68" s="1629">
        <v>100000</v>
      </c>
      <c r="N68" s="1606">
        <f t="shared" si="0"/>
        <v>105900</v>
      </c>
      <c r="O68" s="1628">
        <f t="shared" si="1"/>
        <v>111830.40000000001</v>
      </c>
      <c r="P68" s="1989"/>
      <c r="Q68" s="1990"/>
    </row>
    <row r="69" spans="1:17" ht="12.75" customHeight="1" x14ac:dyDescent="0.25">
      <c r="A69" s="1914"/>
      <c r="B69" s="1827"/>
      <c r="C69" s="2687" t="s">
        <v>2787</v>
      </c>
      <c r="D69" s="1942"/>
      <c r="E69" s="1942"/>
      <c r="F69" s="1915"/>
      <c r="G69" s="1987" t="s">
        <v>21</v>
      </c>
      <c r="H69" s="1988" t="s">
        <v>137</v>
      </c>
      <c r="I69" s="2344" t="s">
        <v>2941</v>
      </c>
      <c r="J69" s="1608"/>
      <c r="K69" s="1606"/>
      <c r="L69" s="1630"/>
      <c r="M69" s="1629">
        <v>200000</v>
      </c>
      <c r="N69" s="1606">
        <f t="shared" si="0"/>
        <v>211800</v>
      </c>
      <c r="O69" s="1628">
        <f t="shared" si="1"/>
        <v>223660.80000000002</v>
      </c>
      <c r="P69" s="1989"/>
      <c r="Q69" s="1990"/>
    </row>
    <row r="70" spans="1:17" ht="12.75" customHeight="1" x14ac:dyDescent="0.25">
      <c r="A70" s="1914"/>
      <c r="B70" s="1827"/>
      <c r="C70" s="2687" t="s">
        <v>2788</v>
      </c>
      <c r="D70" s="1942"/>
      <c r="E70" s="1942"/>
      <c r="F70" s="1915"/>
      <c r="G70" s="1987" t="s">
        <v>21</v>
      </c>
      <c r="H70" s="1988" t="s">
        <v>137</v>
      </c>
      <c r="I70" s="2344" t="s">
        <v>2942</v>
      </c>
      <c r="J70" s="1608"/>
      <c r="K70" s="1606"/>
      <c r="L70" s="1630"/>
      <c r="M70" s="1629">
        <v>100000</v>
      </c>
      <c r="N70" s="1606">
        <f t="shared" si="0"/>
        <v>105900</v>
      </c>
      <c r="O70" s="1628">
        <f t="shared" si="1"/>
        <v>111830.40000000001</v>
      </c>
      <c r="P70" s="1989"/>
      <c r="Q70" s="1990"/>
    </row>
    <row r="71" spans="1:17" ht="12.75" customHeight="1" x14ac:dyDescent="0.25">
      <c r="A71" s="1914"/>
      <c r="B71" s="1827"/>
      <c r="C71" s="2687" t="s">
        <v>2789</v>
      </c>
      <c r="D71" s="1942"/>
      <c r="E71" s="1942"/>
      <c r="F71" s="1915"/>
      <c r="G71" s="1987" t="s">
        <v>21</v>
      </c>
      <c r="H71" s="1988" t="s">
        <v>137</v>
      </c>
      <c r="I71" s="2344" t="s">
        <v>2943</v>
      </c>
      <c r="J71" s="1608"/>
      <c r="K71" s="1606"/>
      <c r="L71" s="1630"/>
      <c r="M71" s="1629">
        <v>144074</v>
      </c>
      <c r="N71" s="1606">
        <f t="shared" si="0"/>
        <v>152574.36599999998</v>
      </c>
      <c r="O71" s="1628">
        <f t="shared" si="1"/>
        <v>161118.53049599999</v>
      </c>
      <c r="P71" s="1989"/>
      <c r="Q71" s="1990"/>
    </row>
    <row r="72" spans="1:17" ht="12.75" customHeight="1" x14ac:dyDescent="0.25">
      <c r="A72" s="1992"/>
      <c r="B72" s="1827"/>
      <c r="C72" s="2687" t="s">
        <v>2790</v>
      </c>
      <c r="D72" s="1942"/>
      <c r="E72" s="1942"/>
      <c r="F72" s="1915"/>
      <c r="G72" s="1987" t="s">
        <v>21</v>
      </c>
      <c r="H72" s="1988" t="s">
        <v>137</v>
      </c>
      <c r="I72" s="2344" t="s">
        <v>2944</v>
      </c>
      <c r="J72" s="1608"/>
      <c r="K72" s="1606"/>
      <c r="L72" s="1630"/>
      <c r="M72" s="1629">
        <v>100000</v>
      </c>
      <c r="N72" s="1606">
        <f t="shared" si="0"/>
        <v>105900</v>
      </c>
      <c r="O72" s="1628">
        <f t="shared" si="1"/>
        <v>111830.40000000001</v>
      </c>
      <c r="P72" s="1989"/>
      <c r="Q72" s="1990"/>
    </row>
    <row r="73" spans="1:17" ht="12.75" customHeight="1" x14ac:dyDescent="0.25">
      <c r="A73" s="1993"/>
      <c r="B73" s="1827"/>
      <c r="C73" s="2687" t="s">
        <v>2792</v>
      </c>
      <c r="D73" s="1942"/>
      <c r="E73" s="1942"/>
      <c r="F73" s="1915"/>
      <c r="G73" s="1987" t="s">
        <v>21</v>
      </c>
      <c r="H73" s="1988" t="s">
        <v>137</v>
      </c>
      <c r="I73" s="2344" t="s">
        <v>2945</v>
      </c>
      <c r="J73" s="1608"/>
      <c r="K73" s="1606"/>
      <c r="L73" s="1630"/>
      <c r="M73" s="1629">
        <v>351017</v>
      </c>
      <c r="N73" s="1606">
        <f t="shared" si="0"/>
        <v>371727.00299999997</v>
      </c>
      <c r="O73" s="1628">
        <f t="shared" si="1"/>
        <v>392543.71516799997</v>
      </c>
      <c r="P73" s="1989"/>
      <c r="Q73" s="1990"/>
    </row>
    <row r="74" spans="1:17" ht="12.75" customHeight="1" x14ac:dyDescent="0.25">
      <c r="A74" s="1914"/>
      <c r="B74" s="1827"/>
      <c r="C74" s="2687" t="s">
        <v>2791</v>
      </c>
      <c r="D74" s="1942"/>
      <c r="E74" s="1942"/>
      <c r="F74" s="1915"/>
      <c r="G74" s="1987" t="s">
        <v>21</v>
      </c>
      <c r="H74" s="1988" t="s">
        <v>137</v>
      </c>
      <c r="I74" s="2344" t="s">
        <v>2946</v>
      </c>
      <c r="J74" s="1608"/>
      <c r="K74" s="1606"/>
      <c r="L74" s="1630"/>
      <c r="M74" s="1629">
        <v>351017</v>
      </c>
      <c r="N74" s="1606">
        <f t="shared" si="0"/>
        <v>371727.00299999997</v>
      </c>
      <c r="O74" s="1628">
        <f t="shared" si="1"/>
        <v>392543.71516799997</v>
      </c>
      <c r="P74" s="1989"/>
      <c r="Q74" s="1990"/>
    </row>
    <row r="75" spans="1:17" ht="12.75" customHeight="1" x14ac:dyDescent="0.25">
      <c r="A75" s="1914"/>
      <c r="B75" s="1827"/>
      <c r="C75" s="2687" t="s">
        <v>2793</v>
      </c>
      <c r="D75" s="1942"/>
      <c r="E75" s="1942"/>
      <c r="F75" s="1915"/>
      <c r="G75" s="1987" t="s">
        <v>21</v>
      </c>
      <c r="H75" s="1988" t="s">
        <v>137</v>
      </c>
      <c r="I75" s="2344" t="s">
        <v>2947</v>
      </c>
      <c r="J75" s="1608"/>
      <c r="K75" s="1606"/>
      <c r="L75" s="1630"/>
      <c r="M75" s="1629">
        <v>351017</v>
      </c>
      <c r="N75" s="1606">
        <f t="shared" si="0"/>
        <v>371727.00299999997</v>
      </c>
      <c r="O75" s="1628">
        <f t="shared" si="1"/>
        <v>392543.71516799997</v>
      </c>
      <c r="P75" s="1989"/>
      <c r="Q75" s="1990"/>
    </row>
    <row r="76" spans="1:17" ht="12.75" customHeight="1" x14ac:dyDescent="0.25">
      <c r="A76" s="1914"/>
      <c r="B76" s="1827"/>
      <c r="C76" s="2687" t="s">
        <v>2794</v>
      </c>
      <c r="D76" s="1942"/>
      <c r="E76" s="1942"/>
      <c r="F76" s="1915"/>
      <c r="G76" s="1987" t="s">
        <v>21</v>
      </c>
      <c r="H76" s="1988" t="s">
        <v>137</v>
      </c>
      <c r="I76" s="2344" t="s">
        <v>2948</v>
      </c>
      <c r="J76" s="1608"/>
      <c r="K76" s="1606"/>
      <c r="L76" s="1630"/>
      <c r="M76" s="1629">
        <v>351017</v>
      </c>
      <c r="N76" s="1606">
        <f t="shared" si="0"/>
        <v>371727.00299999997</v>
      </c>
      <c r="O76" s="1628">
        <f t="shared" si="1"/>
        <v>392543.71516799997</v>
      </c>
      <c r="P76" s="1989"/>
      <c r="Q76" s="1990"/>
    </row>
    <row r="77" spans="1:17" ht="12.75" customHeight="1" x14ac:dyDescent="0.25">
      <c r="A77" s="1992"/>
      <c r="B77" s="1827"/>
      <c r="C77" s="2687" t="s">
        <v>2795</v>
      </c>
      <c r="D77" s="1942"/>
      <c r="E77" s="1942"/>
      <c r="F77" s="1915"/>
      <c r="G77" s="1987" t="s">
        <v>21</v>
      </c>
      <c r="H77" s="1988" t="s">
        <v>137</v>
      </c>
      <c r="I77" s="2344" t="s">
        <v>2949</v>
      </c>
      <c r="J77" s="1608"/>
      <c r="K77" s="1606"/>
      <c r="L77" s="1630"/>
      <c r="M77" s="1629">
        <v>900000</v>
      </c>
      <c r="N77" s="1606">
        <f t="shared" si="0"/>
        <v>953100</v>
      </c>
      <c r="O77" s="1628">
        <f t="shared" si="1"/>
        <v>1006473.6000000001</v>
      </c>
      <c r="P77" s="1989"/>
      <c r="Q77" s="1990"/>
    </row>
    <row r="78" spans="1:17" ht="12.75" customHeight="1" x14ac:dyDescent="0.25">
      <c r="A78" s="1914"/>
      <c r="B78" s="1827"/>
      <c r="C78" s="2687" t="s">
        <v>2798</v>
      </c>
      <c r="D78" s="1942"/>
      <c r="E78" s="1942"/>
      <c r="F78" s="1915"/>
      <c r="G78" s="1987" t="s">
        <v>24</v>
      </c>
      <c r="H78" s="1988" t="s">
        <v>25</v>
      </c>
      <c r="I78" s="2344" t="s">
        <v>2950</v>
      </c>
      <c r="J78" s="1608"/>
      <c r="K78" s="1606"/>
      <c r="L78" s="1630"/>
      <c r="M78" s="1629">
        <v>3124800</v>
      </c>
      <c r="N78" s="1606">
        <f t="shared" si="0"/>
        <v>3309163.1999999997</v>
      </c>
      <c r="O78" s="1628">
        <f t="shared" si="1"/>
        <v>3494476.3391999998</v>
      </c>
      <c r="P78" s="1989"/>
      <c r="Q78" s="1990"/>
    </row>
    <row r="79" spans="1:17" ht="12.75" customHeight="1" x14ac:dyDescent="0.25">
      <c r="A79" s="1914"/>
      <c r="B79" s="1827"/>
      <c r="C79" s="2687" t="s">
        <v>2799</v>
      </c>
      <c r="D79" s="1942"/>
      <c r="E79" s="1942"/>
      <c r="F79" s="1915"/>
      <c r="G79" s="1987" t="s">
        <v>24</v>
      </c>
      <c r="H79" s="1988" t="s">
        <v>25</v>
      </c>
      <c r="I79" s="2344" t="s">
        <v>2951</v>
      </c>
      <c r="J79" s="1608"/>
      <c r="K79" s="1606"/>
      <c r="L79" s="1630"/>
      <c r="M79" s="1629">
        <v>922460</v>
      </c>
      <c r="N79" s="1606">
        <f t="shared" si="0"/>
        <v>976885.1399999999</v>
      </c>
      <c r="O79" s="1628">
        <f t="shared" si="1"/>
        <v>1031590.7078399999</v>
      </c>
      <c r="P79" s="1989"/>
      <c r="Q79" s="1990"/>
    </row>
    <row r="80" spans="1:17" ht="12.75" customHeight="1" x14ac:dyDescent="0.25">
      <c r="A80" s="1914"/>
      <c r="B80" s="1827"/>
      <c r="C80" s="2687" t="s">
        <v>2730</v>
      </c>
      <c r="D80" s="1942"/>
      <c r="E80" s="1942"/>
      <c r="F80" s="1915"/>
      <c r="G80" s="1987" t="s">
        <v>24</v>
      </c>
      <c r="H80" s="1988" t="s">
        <v>25</v>
      </c>
      <c r="I80" s="2344"/>
      <c r="J80" s="1608"/>
      <c r="K80" s="1606"/>
      <c r="L80" s="1630">
        <v>10600000</v>
      </c>
      <c r="M80" s="1629"/>
      <c r="N80" s="1606">
        <f t="shared" si="0"/>
        <v>0</v>
      </c>
      <c r="O80" s="1628">
        <f t="shared" si="1"/>
        <v>0</v>
      </c>
      <c r="P80" s="1989"/>
      <c r="Q80" s="1990"/>
    </row>
    <row r="81" spans="1:17" ht="12.75" customHeight="1" x14ac:dyDescent="0.25">
      <c r="A81" s="1914"/>
      <c r="B81" s="1827"/>
      <c r="C81" s="2687" t="s">
        <v>2742</v>
      </c>
      <c r="D81" s="1942"/>
      <c r="E81" s="1942"/>
      <c r="F81" s="1915"/>
      <c r="G81" s="1987" t="s">
        <v>24</v>
      </c>
      <c r="H81" s="1988" t="s">
        <v>25</v>
      </c>
      <c r="I81" s="2344"/>
      <c r="J81" s="1608"/>
      <c r="K81" s="1606"/>
      <c r="L81" s="1630"/>
      <c r="M81" s="1629"/>
      <c r="N81" s="1606">
        <f t="shared" si="0"/>
        <v>0</v>
      </c>
      <c r="O81" s="1628">
        <f t="shared" si="1"/>
        <v>0</v>
      </c>
      <c r="P81" s="1989"/>
      <c r="Q81" s="1990"/>
    </row>
    <row r="82" spans="1:17" ht="12.75" customHeight="1" x14ac:dyDescent="0.25">
      <c r="A82" s="1914"/>
      <c r="B82" s="1827"/>
      <c r="C82" s="2687" t="s">
        <v>2738</v>
      </c>
      <c r="D82" s="1942"/>
      <c r="E82" s="1942"/>
      <c r="F82" s="1915"/>
      <c r="G82" s="1987" t="s">
        <v>24</v>
      </c>
      <c r="H82" s="1988" t="s">
        <v>25</v>
      </c>
      <c r="I82" s="2344"/>
      <c r="J82" s="1608"/>
      <c r="K82" s="1606"/>
      <c r="L82" s="1630">
        <v>1300000</v>
      </c>
      <c r="M82" s="1629"/>
      <c r="N82" s="1606">
        <f t="shared" si="0"/>
        <v>0</v>
      </c>
      <c r="O82" s="1628">
        <f t="shared" si="1"/>
        <v>0</v>
      </c>
      <c r="P82" s="1989"/>
      <c r="Q82" s="1990"/>
    </row>
    <row r="83" spans="1:17" ht="12.75" customHeight="1" x14ac:dyDescent="0.25">
      <c r="A83" s="1914"/>
      <c r="B83" s="1827"/>
      <c r="C83" s="2687" t="s">
        <v>2739</v>
      </c>
      <c r="D83" s="1942"/>
      <c r="E83" s="1942"/>
      <c r="F83" s="1915"/>
      <c r="G83" s="1987" t="s">
        <v>24</v>
      </c>
      <c r="H83" s="1988" t="s">
        <v>25</v>
      </c>
      <c r="I83" s="2344"/>
      <c r="J83" s="1608"/>
      <c r="K83" s="1606"/>
      <c r="L83" s="1630">
        <v>700000</v>
      </c>
      <c r="M83" s="1629"/>
      <c r="N83" s="1606">
        <f t="shared" si="0"/>
        <v>0</v>
      </c>
      <c r="O83" s="1628">
        <f t="shared" si="1"/>
        <v>0</v>
      </c>
      <c r="P83" s="1989"/>
      <c r="Q83" s="1990"/>
    </row>
    <row r="84" spans="1:17" ht="12.75" customHeight="1" x14ac:dyDescent="0.25">
      <c r="A84" s="1914"/>
      <c r="B84" s="1827"/>
      <c r="C84" s="2687" t="s">
        <v>2713</v>
      </c>
      <c r="D84" s="1942"/>
      <c r="E84" s="1942"/>
      <c r="F84" s="1915"/>
      <c r="G84" s="1987" t="s">
        <v>24</v>
      </c>
      <c r="H84" s="1988" t="s">
        <v>25</v>
      </c>
      <c r="I84" s="2344"/>
      <c r="J84" s="1608"/>
      <c r="K84" s="1606">
        <v>1215962.18</v>
      </c>
      <c r="L84" s="1630">
        <v>2000000</v>
      </c>
      <c r="M84" s="1629"/>
      <c r="N84" s="1606">
        <f t="shared" si="0"/>
        <v>0</v>
      </c>
      <c r="O84" s="1628">
        <f t="shared" si="1"/>
        <v>0</v>
      </c>
      <c r="P84" s="1989"/>
      <c r="Q84" s="1990"/>
    </row>
    <row r="85" spans="1:17" ht="12.75" customHeight="1" x14ac:dyDescent="0.25">
      <c r="A85" s="1914"/>
      <c r="B85" s="1827"/>
      <c r="C85" s="2687" t="s">
        <v>2749</v>
      </c>
      <c r="D85" s="1942"/>
      <c r="E85" s="1942"/>
      <c r="F85" s="1915"/>
      <c r="G85" s="1987" t="s">
        <v>24</v>
      </c>
      <c r="H85" s="1988" t="s">
        <v>25</v>
      </c>
      <c r="I85" s="2344"/>
      <c r="J85" s="1608"/>
      <c r="K85" s="1606">
        <v>1350256.3</v>
      </c>
      <c r="L85" s="1630"/>
      <c r="M85" s="1629"/>
      <c r="N85" s="1606">
        <f t="shared" si="0"/>
        <v>0</v>
      </c>
      <c r="O85" s="1628">
        <f t="shared" si="1"/>
        <v>0</v>
      </c>
      <c r="P85" s="1989"/>
      <c r="Q85" s="1990"/>
    </row>
    <row r="86" spans="1:17" ht="12.75" customHeight="1" x14ac:dyDescent="0.25">
      <c r="A86" s="1914"/>
      <c r="B86" s="1827"/>
      <c r="C86" s="2687" t="s">
        <v>2801</v>
      </c>
      <c r="D86" s="1942"/>
      <c r="E86" s="1942"/>
      <c r="F86" s="1915"/>
      <c r="G86" s="1987" t="s">
        <v>24</v>
      </c>
      <c r="H86" s="1988" t="s">
        <v>25</v>
      </c>
      <c r="I86" s="2344" t="s">
        <v>2919</v>
      </c>
      <c r="J86" s="1608"/>
      <c r="K86" s="1606"/>
      <c r="L86" s="1630"/>
      <c r="M86" s="1629">
        <v>1200000</v>
      </c>
      <c r="N86" s="1606">
        <f t="shared" si="0"/>
        <v>1270800</v>
      </c>
      <c r="O86" s="1628">
        <f t="shared" si="1"/>
        <v>1341964.8</v>
      </c>
      <c r="P86" s="1989" t="s">
        <v>2864</v>
      </c>
      <c r="Q86" s="1990" t="s">
        <v>2860</v>
      </c>
    </row>
    <row r="87" spans="1:17" ht="12.75" customHeight="1" x14ac:dyDescent="0.25">
      <c r="A87" s="1914"/>
      <c r="B87" s="1827"/>
      <c r="C87" s="2687" t="s">
        <v>2802</v>
      </c>
      <c r="D87" s="1942"/>
      <c r="E87" s="1942"/>
      <c r="F87" s="1915"/>
      <c r="G87" s="1987" t="s">
        <v>24</v>
      </c>
      <c r="H87" s="1988" t="s">
        <v>25</v>
      </c>
      <c r="I87" s="2344" t="s">
        <v>2920</v>
      </c>
      <c r="J87" s="1608"/>
      <c r="K87" s="1606"/>
      <c r="L87" s="1630"/>
      <c r="M87" s="1629">
        <v>1000000</v>
      </c>
      <c r="N87" s="1606">
        <f t="shared" si="0"/>
        <v>1059000</v>
      </c>
      <c r="O87" s="1628">
        <f t="shared" si="1"/>
        <v>1118304</v>
      </c>
      <c r="P87" s="1989" t="s">
        <v>2865</v>
      </c>
      <c r="Q87" s="1990" t="s">
        <v>2860</v>
      </c>
    </row>
    <row r="88" spans="1:17" ht="12.75" customHeight="1" x14ac:dyDescent="0.25">
      <c r="A88" s="1914"/>
      <c r="B88" s="1827"/>
      <c r="C88" s="2687" t="s">
        <v>2803</v>
      </c>
      <c r="D88" s="1942"/>
      <c r="E88" s="1942"/>
      <c r="F88" s="1915"/>
      <c r="G88" s="1987" t="s">
        <v>24</v>
      </c>
      <c r="H88" s="1988" t="s">
        <v>25</v>
      </c>
      <c r="I88" s="2344" t="s">
        <v>2921</v>
      </c>
      <c r="J88" s="1608"/>
      <c r="K88" s="1606"/>
      <c r="L88" s="1630"/>
      <c r="M88" s="1629">
        <v>1040000</v>
      </c>
      <c r="N88" s="1606">
        <f t="shared" si="0"/>
        <v>1101360</v>
      </c>
      <c r="O88" s="1628">
        <f t="shared" si="1"/>
        <v>1163036.1600000001</v>
      </c>
      <c r="P88" s="1989" t="s">
        <v>2866</v>
      </c>
      <c r="Q88" s="1990" t="s">
        <v>2860</v>
      </c>
    </row>
    <row r="89" spans="1:17" ht="12.75" customHeight="1" x14ac:dyDescent="0.25">
      <c r="A89" s="1914"/>
      <c r="B89" s="1827"/>
      <c r="C89" s="2687" t="s">
        <v>2804</v>
      </c>
      <c r="D89" s="1942"/>
      <c r="E89" s="1942"/>
      <c r="F89" s="1915"/>
      <c r="G89" s="1987" t="s">
        <v>24</v>
      </c>
      <c r="H89" s="1988" t="s">
        <v>25</v>
      </c>
      <c r="I89" s="2344" t="s">
        <v>2922</v>
      </c>
      <c r="J89" s="1608"/>
      <c r="K89" s="1606"/>
      <c r="L89" s="1630"/>
      <c r="M89" s="1629">
        <v>1000000</v>
      </c>
      <c r="N89" s="1606">
        <f t="shared" si="0"/>
        <v>1059000</v>
      </c>
      <c r="O89" s="1628">
        <f t="shared" si="1"/>
        <v>1118304</v>
      </c>
      <c r="P89" s="1989" t="s">
        <v>2867</v>
      </c>
      <c r="Q89" s="1990" t="s">
        <v>2860</v>
      </c>
    </row>
    <row r="90" spans="1:17" ht="12.75" customHeight="1" x14ac:dyDescent="0.25">
      <c r="A90" s="1914"/>
      <c r="B90" s="1827"/>
      <c r="C90" s="2687" t="s">
        <v>2805</v>
      </c>
      <c r="D90" s="1942"/>
      <c r="E90" s="1942"/>
      <c r="F90" s="1915"/>
      <c r="G90" s="1987" t="s">
        <v>24</v>
      </c>
      <c r="H90" s="1988" t="s">
        <v>25</v>
      </c>
      <c r="I90" s="2344" t="s">
        <v>2923</v>
      </c>
      <c r="J90" s="1608"/>
      <c r="K90" s="1606"/>
      <c r="L90" s="1630"/>
      <c r="M90" s="1629">
        <v>850000</v>
      </c>
      <c r="N90" s="1606">
        <f t="shared" ref="N90:N107" si="2">M90*1.059</f>
        <v>900150</v>
      </c>
      <c r="O90" s="1628">
        <f t="shared" ref="O90:O107" si="3">N90*1.056</f>
        <v>950558.4</v>
      </c>
      <c r="P90" s="1989" t="s">
        <v>2868</v>
      </c>
      <c r="Q90" s="1990" t="s">
        <v>2860</v>
      </c>
    </row>
    <row r="91" spans="1:17" ht="12.75" customHeight="1" x14ac:dyDescent="0.25">
      <c r="A91" s="1914"/>
      <c r="B91" s="1827"/>
      <c r="C91" s="2687" t="s">
        <v>2806</v>
      </c>
      <c r="D91" s="1942"/>
      <c r="E91" s="1942"/>
      <c r="F91" s="1915"/>
      <c r="G91" s="1987" t="s">
        <v>24</v>
      </c>
      <c r="H91" s="1988" t="s">
        <v>25</v>
      </c>
      <c r="I91" s="2344" t="s">
        <v>2924</v>
      </c>
      <c r="J91" s="1608"/>
      <c r="K91" s="1606"/>
      <c r="L91" s="1630"/>
      <c r="M91" s="1629">
        <v>850000</v>
      </c>
      <c r="N91" s="1606">
        <f t="shared" si="2"/>
        <v>900150</v>
      </c>
      <c r="O91" s="1628">
        <f t="shared" si="3"/>
        <v>950558.4</v>
      </c>
      <c r="P91" s="1989" t="s">
        <v>2869</v>
      </c>
      <c r="Q91" s="1990" t="s">
        <v>2860</v>
      </c>
    </row>
    <row r="92" spans="1:17" ht="12.75" customHeight="1" x14ac:dyDescent="0.25">
      <c r="A92" s="1914"/>
      <c r="B92" s="1827"/>
      <c r="C92" s="2687" t="s">
        <v>2807</v>
      </c>
      <c r="D92" s="1942"/>
      <c r="E92" s="1942"/>
      <c r="F92" s="1915"/>
      <c r="G92" s="1987" t="s">
        <v>24</v>
      </c>
      <c r="H92" s="1988" t="s">
        <v>25</v>
      </c>
      <c r="I92" s="2344" t="s">
        <v>2925</v>
      </c>
      <c r="J92" s="1608"/>
      <c r="K92" s="1606"/>
      <c r="L92" s="1630"/>
      <c r="M92" s="1629">
        <v>850000</v>
      </c>
      <c r="N92" s="1606">
        <f t="shared" si="2"/>
        <v>900150</v>
      </c>
      <c r="O92" s="1628">
        <f t="shared" si="3"/>
        <v>950558.4</v>
      </c>
      <c r="P92" s="1989" t="s">
        <v>2870</v>
      </c>
      <c r="Q92" s="1990" t="s">
        <v>2860</v>
      </c>
    </row>
    <row r="93" spans="1:17" ht="12.75" customHeight="1" x14ac:dyDescent="0.25">
      <c r="A93" s="1914"/>
      <c r="B93" s="1827"/>
      <c r="C93" s="2687" t="s">
        <v>2808</v>
      </c>
      <c r="D93" s="1942"/>
      <c r="E93" s="1942"/>
      <c r="F93" s="1915"/>
      <c r="G93" s="1987" t="s">
        <v>24</v>
      </c>
      <c r="H93" s="1988" t="s">
        <v>25</v>
      </c>
      <c r="I93" s="2344" t="s">
        <v>2926</v>
      </c>
      <c r="J93" s="1608"/>
      <c r="K93" s="1606"/>
      <c r="L93" s="1630"/>
      <c r="M93" s="1629">
        <v>920000</v>
      </c>
      <c r="N93" s="1606">
        <f t="shared" si="2"/>
        <v>974280</v>
      </c>
      <c r="O93" s="1628">
        <f t="shared" si="3"/>
        <v>1028839.68</v>
      </c>
      <c r="P93" s="1989" t="s">
        <v>2867</v>
      </c>
      <c r="Q93" s="1990" t="s">
        <v>2860</v>
      </c>
    </row>
    <row r="94" spans="1:17" ht="12.75" customHeight="1" x14ac:dyDescent="0.25">
      <c r="A94" s="1914"/>
      <c r="B94" s="1827"/>
      <c r="C94" s="2687" t="s">
        <v>2809</v>
      </c>
      <c r="D94" s="1942"/>
      <c r="E94" s="1942"/>
      <c r="F94" s="1915"/>
      <c r="G94" s="1987" t="s">
        <v>24</v>
      </c>
      <c r="H94" s="1988" t="s">
        <v>25</v>
      </c>
      <c r="I94" s="2344" t="s">
        <v>2927</v>
      </c>
      <c r="J94" s="1608"/>
      <c r="K94" s="1606"/>
      <c r="L94" s="1630"/>
      <c r="M94" s="1629">
        <v>920000</v>
      </c>
      <c r="N94" s="1606">
        <f t="shared" si="2"/>
        <v>974280</v>
      </c>
      <c r="O94" s="1628">
        <f t="shared" si="3"/>
        <v>1028839.68</v>
      </c>
      <c r="P94" s="1989" t="s">
        <v>2871</v>
      </c>
      <c r="Q94" s="1990" t="s">
        <v>2860</v>
      </c>
    </row>
    <row r="95" spans="1:17" ht="12.75" customHeight="1" x14ac:dyDescent="0.25">
      <c r="A95" s="1914"/>
      <c r="B95" s="1827"/>
      <c r="C95" s="2687" t="s">
        <v>2810</v>
      </c>
      <c r="D95" s="1942"/>
      <c r="E95" s="1942"/>
      <c r="F95" s="1915"/>
      <c r="G95" s="1987" t="s">
        <v>24</v>
      </c>
      <c r="H95" s="1988" t="s">
        <v>25</v>
      </c>
      <c r="I95" s="2344" t="s">
        <v>2928</v>
      </c>
      <c r="J95" s="1608"/>
      <c r="K95" s="1606"/>
      <c r="L95" s="1630"/>
      <c r="M95" s="1629">
        <v>920000</v>
      </c>
      <c r="N95" s="1606">
        <f t="shared" si="2"/>
        <v>974280</v>
      </c>
      <c r="O95" s="1628">
        <f t="shared" si="3"/>
        <v>1028839.68</v>
      </c>
      <c r="P95" s="1989"/>
      <c r="Q95" s="1990" t="s">
        <v>2860</v>
      </c>
    </row>
    <row r="96" spans="1:17" ht="12.75" customHeight="1" x14ac:dyDescent="0.25">
      <c r="A96" s="1914"/>
      <c r="B96" s="1827"/>
      <c r="C96" s="2687" t="s">
        <v>2811</v>
      </c>
      <c r="D96" s="1942"/>
      <c r="E96" s="1942"/>
      <c r="F96" s="1915"/>
      <c r="G96" s="1987" t="s">
        <v>24</v>
      </c>
      <c r="H96" s="1988" t="s">
        <v>25</v>
      </c>
      <c r="I96" s="2344" t="s">
        <v>2929</v>
      </c>
      <c r="J96" s="1608"/>
      <c r="K96" s="1606"/>
      <c r="L96" s="1630"/>
      <c r="M96" s="1629">
        <v>1200000</v>
      </c>
      <c r="N96" s="1606">
        <f t="shared" si="2"/>
        <v>1270800</v>
      </c>
      <c r="O96" s="1628">
        <f t="shared" si="3"/>
        <v>1341964.8</v>
      </c>
      <c r="P96" s="1989"/>
      <c r="Q96" s="1990" t="s">
        <v>2860</v>
      </c>
    </row>
    <row r="97" spans="1:17" ht="12.75" customHeight="1" x14ac:dyDescent="0.25">
      <c r="A97" s="1914"/>
      <c r="B97" s="1827"/>
      <c r="C97" s="2687" t="s">
        <v>2812</v>
      </c>
      <c r="D97" s="1942"/>
      <c r="E97" s="1942"/>
      <c r="F97" s="1915"/>
      <c r="G97" s="1987" t="s">
        <v>24</v>
      </c>
      <c r="H97" s="1988" t="s">
        <v>25</v>
      </c>
      <c r="I97" s="2344" t="s">
        <v>2930</v>
      </c>
      <c r="J97" s="1608"/>
      <c r="K97" s="1606"/>
      <c r="L97" s="1630"/>
      <c r="M97" s="1629">
        <v>1920000</v>
      </c>
      <c r="N97" s="1606">
        <f t="shared" si="2"/>
        <v>2033280</v>
      </c>
      <c r="O97" s="1628">
        <f t="shared" si="3"/>
        <v>2147143.6800000002</v>
      </c>
      <c r="P97" s="1989"/>
      <c r="Q97" s="1990" t="s">
        <v>2860</v>
      </c>
    </row>
    <row r="98" spans="1:17" ht="12.75" customHeight="1" x14ac:dyDescent="0.25">
      <c r="A98" s="1914"/>
      <c r="B98" s="1827"/>
      <c r="C98" s="2687" t="s">
        <v>2813</v>
      </c>
      <c r="D98" s="1942"/>
      <c r="E98" s="1942"/>
      <c r="F98" s="1915"/>
      <c r="G98" s="1987" t="s">
        <v>24</v>
      </c>
      <c r="H98" s="1988" t="s">
        <v>25</v>
      </c>
      <c r="I98" s="2344" t="s">
        <v>2931</v>
      </c>
      <c r="J98" s="1608"/>
      <c r="K98" s="1606"/>
      <c r="L98" s="1630"/>
      <c r="M98" s="1629">
        <v>1200000</v>
      </c>
      <c r="N98" s="1606">
        <f t="shared" si="2"/>
        <v>1270800</v>
      </c>
      <c r="O98" s="1628">
        <f t="shared" si="3"/>
        <v>1341964.8</v>
      </c>
      <c r="P98" s="1989"/>
      <c r="Q98" s="1990" t="s">
        <v>2860</v>
      </c>
    </row>
    <row r="99" spans="1:17" ht="12.75" customHeight="1" x14ac:dyDescent="0.25">
      <c r="A99" s="1914"/>
      <c r="B99" s="1827"/>
      <c r="C99" s="2687" t="s">
        <v>2814</v>
      </c>
      <c r="D99" s="1942"/>
      <c r="E99" s="1942"/>
      <c r="F99" s="1915"/>
      <c r="G99" s="1987" t="s">
        <v>24</v>
      </c>
      <c r="H99" s="1988" t="s">
        <v>25</v>
      </c>
      <c r="I99" s="2344" t="s">
        <v>2932</v>
      </c>
      <c r="J99" s="1608"/>
      <c r="K99" s="1606"/>
      <c r="L99" s="1630"/>
      <c r="M99" s="1629">
        <v>1000000</v>
      </c>
      <c r="N99" s="1606">
        <f t="shared" si="2"/>
        <v>1059000</v>
      </c>
      <c r="O99" s="1628">
        <f t="shared" si="3"/>
        <v>1118304</v>
      </c>
      <c r="P99" s="1989"/>
      <c r="Q99" s="1990" t="s">
        <v>2860</v>
      </c>
    </row>
    <row r="100" spans="1:17" ht="12.75" customHeight="1" x14ac:dyDescent="0.25">
      <c r="A100" s="1914"/>
      <c r="B100" s="1827"/>
      <c r="C100" s="2687" t="s">
        <v>2815</v>
      </c>
      <c r="D100" s="1942"/>
      <c r="E100" s="1942"/>
      <c r="F100" s="1915"/>
      <c r="G100" s="1987" t="s">
        <v>24</v>
      </c>
      <c r="H100" s="1988" t="s">
        <v>25</v>
      </c>
      <c r="I100" s="2344" t="s">
        <v>2933</v>
      </c>
      <c r="J100" s="1608"/>
      <c r="K100" s="1606"/>
      <c r="L100" s="1630"/>
      <c r="M100" s="1629">
        <v>1000000</v>
      </c>
      <c r="N100" s="1606">
        <f t="shared" si="2"/>
        <v>1059000</v>
      </c>
      <c r="O100" s="1628">
        <f t="shared" si="3"/>
        <v>1118304</v>
      </c>
      <c r="P100" s="1989"/>
      <c r="Q100" s="1990" t="s">
        <v>2860</v>
      </c>
    </row>
    <row r="101" spans="1:17" ht="12.75" customHeight="1" x14ac:dyDescent="0.25">
      <c r="A101" s="1914"/>
      <c r="B101" s="1827"/>
      <c r="C101" s="2687" t="s">
        <v>2816</v>
      </c>
      <c r="D101" s="1942"/>
      <c r="E101" s="1942"/>
      <c r="F101" s="1915"/>
      <c r="G101" s="1987" t="s">
        <v>24</v>
      </c>
      <c r="H101" s="1988" t="s">
        <v>25</v>
      </c>
      <c r="I101" s="2344" t="s">
        <v>2934</v>
      </c>
      <c r="J101" s="1608"/>
      <c r="K101" s="1606"/>
      <c r="L101" s="1630"/>
      <c r="M101" s="1629">
        <v>1200000</v>
      </c>
      <c r="N101" s="1606">
        <f t="shared" si="2"/>
        <v>1270800</v>
      </c>
      <c r="O101" s="1628">
        <f t="shared" si="3"/>
        <v>1341964.8</v>
      </c>
      <c r="P101" s="1989"/>
      <c r="Q101" s="1990" t="s">
        <v>2860</v>
      </c>
    </row>
    <row r="102" spans="1:17" ht="12.75" customHeight="1" x14ac:dyDescent="0.25">
      <c r="A102" s="1914"/>
      <c r="B102" s="1827"/>
      <c r="C102" s="2687" t="s">
        <v>2817</v>
      </c>
      <c r="D102" s="1942"/>
      <c r="E102" s="1942"/>
      <c r="F102" s="1915"/>
      <c r="G102" s="1987" t="s">
        <v>24</v>
      </c>
      <c r="H102" s="1988" t="s">
        <v>25</v>
      </c>
      <c r="I102" s="2344" t="s">
        <v>2935</v>
      </c>
      <c r="J102" s="1608"/>
      <c r="K102" s="1606"/>
      <c r="L102" s="1630"/>
      <c r="M102" s="1629">
        <v>1040000</v>
      </c>
      <c r="N102" s="1606">
        <f t="shared" si="2"/>
        <v>1101360</v>
      </c>
      <c r="O102" s="1628">
        <f t="shared" si="3"/>
        <v>1163036.1600000001</v>
      </c>
      <c r="P102" s="1989"/>
      <c r="Q102" s="1990" t="s">
        <v>2860</v>
      </c>
    </row>
    <row r="103" spans="1:17" ht="12.75" customHeight="1" x14ac:dyDescent="0.25">
      <c r="A103" s="1914"/>
      <c r="B103" s="1827"/>
      <c r="C103" s="2687" t="s">
        <v>2818</v>
      </c>
      <c r="D103" s="1942"/>
      <c r="E103" s="1942"/>
      <c r="F103" s="1915"/>
      <c r="G103" s="1987" t="s">
        <v>24</v>
      </c>
      <c r="H103" s="1988" t="s">
        <v>25</v>
      </c>
      <c r="I103" s="2344" t="s">
        <v>2936</v>
      </c>
      <c r="J103" s="1608"/>
      <c r="K103" s="1606"/>
      <c r="L103" s="1630"/>
      <c r="M103" s="1629">
        <v>1000000</v>
      </c>
      <c r="N103" s="1606">
        <f t="shared" si="2"/>
        <v>1059000</v>
      </c>
      <c r="O103" s="1628">
        <f t="shared" si="3"/>
        <v>1118304</v>
      </c>
      <c r="P103" s="1989"/>
      <c r="Q103" s="1990" t="s">
        <v>2860</v>
      </c>
    </row>
    <row r="104" spans="1:17" ht="12.75" customHeight="1" x14ac:dyDescent="0.25">
      <c r="A104" s="1914"/>
      <c r="B104" s="1827"/>
      <c r="C104" s="2687" t="s">
        <v>2819</v>
      </c>
      <c r="D104" s="1942"/>
      <c r="E104" s="1942"/>
      <c r="F104" s="1915"/>
      <c r="G104" s="1987" t="s">
        <v>24</v>
      </c>
      <c r="H104" s="1988" t="s">
        <v>25</v>
      </c>
      <c r="I104" s="2344" t="s">
        <v>2937</v>
      </c>
      <c r="J104" s="1608"/>
      <c r="K104" s="1606"/>
      <c r="L104" s="1630"/>
      <c r="M104" s="1629">
        <v>1000000</v>
      </c>
      <c r="N104" s="1606">
        <f t="shared" si="2"/>
        <v>1059000</v>
      </c>
      <c r="O104" s="1628">
        <f t="shared" si="3"/>
        <v>1118304</v>
      </c>
      <c r="P104" s="1989"/>
      <c r="Q104" s="1990" t="s">
        <v>2860</v>
      </c>
    </row>
    <row r="105" spans="1:17" ht="12.75" customHeight="1" x14ac:dyDescent="0.25">
      <c r="A105" s="1914"/>
      <c r="B105" s="1827"/>
      <c r="C105" s="2687" t="s">
        <v>2820</v>
      </c>
      <c r="D105" s="1942"/>
      <c r="E105" s="1942"/>
      <c r="F105" s="1915"/>
      <c r="G105" s="1987" t="s">
        <v>24</v>
      </c>
      <c r="H105" s="1988" t="s">
        <v>25</v>
      </c>
      <c r="I105" s="2344" t="s">
        <v>2930</v>
      </c>
      <c r="J105" s="1608"/>
      <c r="K105" s="1606"/>
      <c r="L105" s="1630"/>
      <c r="M105" s="1629">
        <v>23225939</v>
      </c>
      <c r="N105" s="1606">
        <f t="shared" si="2"/>
        <v>24596269.400999997</v>
      </c>
      <c r="O105" s="1628">
        <f t="shared" si="3"/>
        <v>25973660.487455998</v>
      </c>
      <c r="P105" s="1989"/>
      <c r="Q105" s="1990" t="s">
        <v>2860</v>
      </c>
    </row>
    <row r="106" spans="1:17" ht="12.75" customHeight="1" x14ac:dyDescent="0.25">
      <c r="A106" s="1914"/>
      <c r="B106" s="1827"/>
      <c r="C106" s="2687" t="s">
        <v>2779</v>
      </c>
      <c r="D106" s="1942"/>
      <c r="E106" s="1942"/>
      <c r="F106" s="1915"/>
      <c r="G106" s="1987" t="s">
        <v>1981</v>
      </c>
      <c r="H106" s="1988" t="s">
        <v>629</v>
      </c>
      <c r="I106" s="2344"/>
      <c r="J106" s="1608"/>
      <c r="K106" s="1606"/>
      <c r="L106" s="1630"/>
      <c r="M106" s="1629">
        <v>90000</v>
      </c>
      <c r="N106" s="1606">
        <f t="shared" si="2"/>
        <v>95310</v>
      </c>
      <c r="O106" s="1628">
        <f t="shared" si="3"/>
        <v>100647.36</v>
      </c>
      <c r="P106" s="1989"/>
      <c r="Q106" s="1990"/>
    </row>
    <row r="107" spans="1:17" ht="12.75" customHeight="1" x14ac:dyDescent="0.25">
      <c r="A107" s="1992"/>
      <c r="B107" s="1827"/>
      <c r="C107" s="2687" t="s">
        <v>2766</v>
      </c>
      <c r="D107" s="1942"/>
      <c r="E107" s="1942"/>
      <c r="F107" s="1915"/>
      <c r="G107" s="1987" t="s">
        <v>21</v>
      </c>
      <c r="H107" s="1988" t="s">
        <v>23</v>
      </c>
      <c r="I107" s="2344"/>
      <c r="J107" s="1608"/>
      <c r="K107" s="1606"/>
      <c r="L107" s="1630"/>
      <c r="M107" s="1629">
        <v>1100000</v>
      </c>
      <c r="N107" s="1606">
        <f t="shared" si="2"/>
        <v>1164900</v>
      </c>
      <c r="O107" s="1628">
        <f t="shared" si="3"/>
        <v>1230134.4000000001</v>
      </c>
      <c r="P107" s="1989"/>
      <c r="Q107" s="1990"/>
    </row>
    <row r="108" spans="1:17" ht="12.75" customHeight="1" x14ac:dyDescent="0.25">
      <c r="A108" s="1993"/>
      <c r="B108" s="1827"/>
      <c r="C108" s="2688"/>
      <c r="D108" s="1942"/>
      <c r="E108" s="1942"/>
      <c r="F108" s="1915"/>
      <c r="G108" s="1987"/>
      <c r="H108" s="1988"/>
      <c r="I108" s="2344"/>
      <c r="J108" s="1608"/>
      <c r="K108" s="1606"/>
      <c r="L108" s="1630"/>
      <c r="M108" s="1629"/>
      <c r="N108" s="1606"/>
      <c r="O108" s="1628"/>
      <c r="P108" s="1989"/>
      <c r="Q108" s="1990"/>
    </row>
    <row r="109" spans="1:17" ht="12.75" customHeight="1" x14ac:dyDescent="0.25">
      <c r="A109" s="1914"/>
      <c r="B109" s="1827"/>
      <c r="C109" s="2688"/>
      <c r="D109" s="1942"/>
      <c r="E109" s="1942"/>
      <c r="F109" s="1915"/>
      <c r="G109" s="1987"/>
      <c r="H109" s="1988"/>
      <c r="I109" s="2344"/>
      <c r="J109" s="1608"/>
      <c r="K109" s="1606"/>
      <c r="L109" s="1630"/>
      <c r="M109" s="1629"/>
      <c r="N109" s="1606"/>
      <c r="O109" s="1628"/>
      <c r="P109" s="1989"/>
      <c r="Q109" s="1990"/>
    </row>
    <row r="110" spans="1:17" ht="12.75" customHeight="1" x14ac:dyDescent="0.25">
      <c r="A110" s="1914"/>
      <c r="B110" s="1827"/>
      <c r="C110" s="1991"/>
      <c r="D110" s="1942"/>
      <c r="E110" s="1942"/>
      <c r="F110" s="1915"/>
      <c r="G110" s="1987"/>
      <c r="H110" s="1988"/>
      <c r="I110" s="2344"/>
      <c r="J110" s="1608"/>
      <c r="K110" s="1606"/>
      <c r="L110" s="1630"/>
      <c r="M110" s="1629"/>
      <c r="N110" s="1606"/>
      <c r="O110" s="1628"/>
      <c r="P110" s="1989"/>
      <c r="Q110" s="1990"/>
    </row>
    <row r="111" spans="1:17" ht="12.75" customHeight="1" x14ac:dyDescent="0.25">
      <c r="A111" s="1914"/>
      <c r="B111" s="1827"/>
      <c r="C111" s="1991"/>
      <c r="D111" s="1942"/>
      <c r="E111" s="1942"/>
      <c r="F111" s="1915"/>
      <c r="G111" s="1987"/>
      <c r="H111" s="1988"/>
      <c r="I111" s="2344"/>
      <c r="J111" s="1608"/>
      <c r="K111" s="1606"/>
      <c r="L111" s="1630"/>
      <c r="M111" s="1629"/>
      <c r="N111" s="1606"/>
      <c r="O111" s="1628"/>
      <c r="P111" s="1989"/>
      <c r="Q111" s="1990"/>
    </row>
    <row r="112" spans="1:17" ht="12.75" customHeight="1" x14ac:dyDescent="0.25">
      <c r="A112" s="1992"/>
      <c r="B112" s="1827"/>
      <c r="C112" s="1991"/>
      <c r="D112" s="1942"/>
      <c r="E112" s="1942"/>
      <c r="F112" s="1915"/>
      <c r="G112" s="1987"/>
      <c r="H112" s="1988"/>
      <c r="I112" s="2344"/>
      <c r="J112" s="1608"/>
      <c r="K112" s="1606"/>
      <c r="L112" s="1630"/>
      <c r="M112" s="1629"/>
      <c r="N112" s="1606"/>
      <c r="O112" s="1628"/>
      <c r="P112" s="1989"/>
      <c r="Q112" s="1990"/>
    </row>
    <row r="113" spans="1:17" ht="12.75" customHeight="1" x14ac:dyDescent="0.25">
      <c r="A113" s="1914"/>
      <c r="B113" s="1827"/>
      <c r="C113" s="1991"/>
      <c r="D113" s="1942"/>
      <c r="E113" s="1942"/>
      <c r="F113" s="1915"/>
      <c r="G113" s="1987"/>
      <c r="H113" s="1988"/>
      <c r="I113" s="2344"/>
      <c r="J113" s="1608"/>
      <c r="K113" s="1606"/>
      <c r="L113" s="1630"/>
      <c r="M113" s="1629"/>
      <c r="N113" s="1606"/>
      <c r="O113" s="1628"/>
      <c r="P113" s="1989"/>
      <c r="Q113" s="1990"/>
    </row>
    <row r="114" spans="1:17" ht="12.75" customHeight="1" x14ac:dyDescent="0.25">
      <c r="A114" s="1914"/>
      <c r="B114" s="1827"/>
      <c r="C114" s="1991"/>
      <c r="D114" s="1942"/>
      <c r="E114" s="1942"/>
      <c r="F114" s="1915"/>
      <c r="G114" s="1987"/>
      <c r="H114" s="1988"/>
      <c r="I114" s="2344"/>
      <c r="J114" s="1608"/>
      <c r="K114" s="1606"/>
      <c r="L114" s="1630"/>
      <c r="M114" s="1629"/>
      <c r="N114" s="1606"/>
      <c r="O114" s="1628"/>
      <c r="P114" s="1989"/>
      <c r="Q114" s="1990"/>
    </row>
    <row r="115" spans="1:17" ht="12.75" customHeight="1" x14ac:dyDescent="0.25">
      <c r="A115" s="1914"/>
      <c r="B115" s="1827"/>
      <c r="C115" s="1991"/>
      <c r="D115" s="1942"/>
      <c r="E115" s="1942"/>
      <c r="F115" s="1915"/>
      <c r="G115" s="1987"/>
      <c r="H115" s="1988"/>
      <c r="I115" s="2344"/>
      <c r="J115" s="1608"/>
      <c r="K115" s="1606"/>
      <c r="L115" s="1630"/>
      <c r="M115" s="1629"/>
      <c r="N115" s="1606"/>
      <c r="O115" s="1628"/>
      <c r="P115" s="1989"/>
      <c r="Q115" s="1990"/>
    </row>
    <row r="116" spans="1:17" ht="12.75" customHeight="1" x14ac:dyDescent="0.25">
      <c r="A116" s="1914"/>
      <c r="B116" s="1827"/>
      <c r="C116" s="1991"/>
      <c r="D116" s="1942"/>
      <c r="E116" s="1942"/>
      <c r="F116" s="1915"/>
      <c r="G116" s="1987"/>
      <c r="H116" s="1988"/>
      <c r="I116" s="2344"/>
      <c r="J116" s="1608"/>
      <c r="K116" s="1606"/>
      <c r="L116" s="1630"/>
      <c r="M116" s="1629"/>
      <c r="N116" s="1606"/>
      <c r="O116" s="1628"/>
      <c r="P116" s="1989"/>
      <c r="Q116" s="1990"/>
    </row>
    <row r="117" spans="1:17" ht="12.75" customHeight="1" x14ac:dyDescent="0.25">
      <c r="A117" s="1914"/>
      <c r="B117" s="1827"/>
      <c r="C117" s="1991"/>
      <c r="D117" s="1942"/>
      <c r="E117" s="1942"/>
      <c r="F117" s="1915"/>
      <c r="G117" s="1987"/>
      <c r="H117" s="1988"/>
      <c r="I117" s="2344"/>
      <c r="J117" s="1608"/>
      <c r="K117" s="1606"/>
      <c r="L117" s="1630"/>
      <c r="M117" s="1629"/>
      <c r="N117" s="1606"/>
      <c r="O117" s="1628"/>
      <c r="P117" s="1989"/>
      <c r="Q117" s="1990"/>
    </row>
    <row r="118" spans="1:17" ht="12.75" customHeight="1" x14ac:dyDescent="0.25">
      <c r="A118" s="1914"/>
      <c r="B118" s="1827"/>
      <c r="C118" s="1991"/>
      <c r="D118" s="1942"/>
      <c r="E118" s="1942"/>
      <c r="F118" s="1915"/>
      <c r="G118" s="1987"/>
      <c r="H118" s="1988"/>
      <c r="I118" s="2344"/>
      <c r="J118" s="1608"/>
      <c r="K118" s="1606"/>
      <c r="L118" s="1630"/>
      <c r="M118" s="1629"/>
      <c r="N118" s="1606"/>
      <c r="O118" s="1628"/>
      <c r="P118" s="1989"/>
      <c r="Q118" s="1990"/>
    </row>
    <row r="119" spans="1:17" ht="12.75" customHeight="1" x14ac:dyDescent="0.25">
      <c r="A119" s="1914"/>
      <c r="B119" s="1827"/>
      <c r="C119" s="1991"/>
      <c r="D119" s="1942"/>
      <c r="E119" s="1942"/>
      <c r="F119" s="1915"/>
      <c r="G119" s="1987"/>
      <c r="H119" s="1988"/>
      <c r="I119" s="2344"/>
      <c r="J119" s="1608"/>
      <c r="K119" s="1606"/>
      <c r="L119" s="1630"/>
      <c r="M119" s="1629"/>
      <c r="N119" s="1606"/>
      <c r="O119" s="1628"/>
      <c r="P119" s="1989"/>
      <c r="Q119" s="1990"/>
    </row>
    <row r="120" spans="1:17" ht="12.75" customHeight="1" x14ac:dyDescent="0.25">
      <c r="A120" s="1914"/>
      <c r="B120" s="1827"/>
      <c r="C120" s="1991"/>
      <c r="D120" s="1942"/>
      <c r="E120" s="1942"/>
      <c r="F120" s="1915"/>
      <c r="G120" s="1987"/>
      <c r="H120" s="1988"/>
      <c r="I120" s="2344"/>
      <c r="J120" s="1608"/>
      <c r="K120" s="1606"/>
      <c r="L120" s="1630"/>
      <c r="M120" s="1629"/>
      <c r="N120" s="1606"/>
      <c r="O120" s="1628"/>
      <c r="P120" s="1989"/>
      <c r="Q120" s="1990"/>
    </row>
    <row r="121" spans="1:17" ht="12.75" customHeight="1" x14ac:dyDescent="0.25">
      <c r="A121" s="1914"/>
      <c r="B121" s="1827"/>
      <c r="C121" s="1991"/>
      <c r="D121" s="1942"/>
      <c r="E121" s="1942"/>
      <c r="F121" s="1915"/>
      <c r="G121" s="1987"/>
      <c r="H121" s="1988"/>
      <c r="I121" s="2344"/>
      <c r="J121" s="1608"/>
      <c r="K121" s="1606"/>
      <c r="L121" s="1630"/>
      <c r="M121" s="1629"/>
      <c r="N121" s="1606"/>
      <c r="O121" s="1628"/>
      <c r="P121" s="1989"/>
      <c r="Q121" s="1990"/>
    </row>
    <row r="122" spans="1:17" ht="12.75" customHeight="1" x14ac:dyDescent="0.25">
      <c r="A122" s="1914"/>
      <c r="B122" s="1827"/>
      <c r="C122" s="1991"/>
      <c r="D122" s="1942"/>
      <c r="E122" s="1942"/>
      <c r="F122" s="1915"/>
      <c r="G122" s="1987"/>
      <c r="H122" s="1988"/>
      <c r="I122" s="2344"/>
      <c r="J122" s="1608"/>
      <c r="K122" s="1606"/>
      <c r="L122" s="1630"/>
      <c r="M122" s="1629"/>
      <c r="N122" s="1606"/>
      <c r="O122" s="1628"/>
      <c r="P122" s="1989"/>
      <c r="Q122" s="1990"/>
    </row>
    <row r="123" spans="1:17" ht="12.75" customHeight="1" x14ac:dyDescent="0.25">
      <c r="A123" s="1914"/>
      <c r="B123" s="1827"/>
      <c r="C123" s="1991"/>
      <c r="D123" s="1942"/>
      <c r="E123" s="1942"/>
      <c r="F123" s="1915"/>
      <c r="G123" s="1987"/>
      <c r="H123" s="1988"/>
      <c r="I123" s="2344"/>
      <c r="J123" s="1608"/>
      <c r="K123" s="1606"/>
      <c r="L123" s="1630"/>
      <c r="M123" s="1629"/>
      <c r="N123" s="1606"/>
      <c r="O123" s="1628"/>
      <c r="P123" s="1989"/>
      <c r="Q123" s="1990"/>
    </row>
    <row r="124" spans="1:17" ht="12.75" customHeight="1" x14ac:dyDescent="0.25">
      <c r="A124" s="1914"/>
      <c r="B124" s="1827"/>
      <c r="C124" s="1991"/>
      <c r="D124" s="1942"/>
      <c r="E124" s="1942"/>
      <c r="F124" s="1915"/>
      <c r="G124" s="1987"/>
      <c r="H124" s="1988"/>
      <c r="I124" s="2344"/>
      <c r="J124" s="1608"/>
      <c r="K124" s="1606"/>
      <c r="L124" s="1630"/>
      <c r="M124" s="1629"/>
      <c r="N124" s="1606"/>
      <c r="O124" s="1628"/>
      <c r="P124" s="1989"/>
      <c r="Q124" s="1990"/>
    </row>
    <row r="125" spans="1:17" ht="12.75" customHeight="1" x14ac:dyDescent="0.25">
      <c r="A125" s="1914"/>
      <c r="B125" s="1827"/>
      <c r="C125" s="1991"/>
      <c r="D125" s="1942"/>
      <c r="E125" s="1942"/>
      <c r="F125" s="1915"/>
      <c r="G125" s="1987"/>
      <c r="H125" s="1988"/>
      <c r="I125" s="2344"/>
      <c r="J125" s="1608"/>
      <c r="K125" s="1606"/>
      <c r="L125" s="1630"/>
      <c r="M125" s="1629"/>
      <c r="N125" s="1606"/>
      <c r="O125" s="1628"/>
      <c r="P125" s="1989"/>
      <c r="Q125" s="1990"/>
    </row>
    <row r="126" spans="1:17" ht="12.75" customHeight="1" x14ac:dyDescent="0.25">
      <c r="A126" s="1914"/>
      <c r="B126" s="1827"/>
      <c r="C126" s="1991"/>
      <c r="D126" s="1942"/>
      <c r="E126" s="1942"/>
      <c r="F126" s="1915"/>
      <c r="G126" s="1987"/>
      <c r="H126" s="1988"/>
      <c r="I126" s="2344"/>
      <c r="J126" s="1608"/>
      <c r="K126" s="1606"/>
      <c r="L126" s="1630"/>
      <c r="M126" s="1629"/>
      <c r="N126" s="1606"/>
      <c r="O126" s="1628"/>
      <c r="P126" s="1989"/>
      <c r="Q126" s="1990"/>
    </row>
    <row r="127" spans="1:17" ht="12.75" customHeight="1" x14ac:dyDescent="0.25">
      <c r="A127" s="1914"/>
      <c r="B127" s="1827"/>
      <c r="C127" s="1991"/>
      <c r="D127" s="1942"/>
      <c r="E127" s="1942"/>
      <c r="F127" s="1915"/>
      <c r="G127" s="1987"/>
      <c r="H127" s="1988"/>
      <c r="I127" s="2344"/>
      <c r="J127" s="1608"/>
      <c r="K127" s="1606"/>
      <c r="L127" s="1630"/>
      <c r="M127" s="1629"/>
      <c r="N127" s="1606"/>
      <c r="O127" s="1628"/>
      <c r="P127" s="1989"/>
      <c r="Q127" s="1990"/>
    </row>
    <row r="128" spans="1:17" ht="12.75" customHeight="1" x14ac:dyDescent="0.25">
      <c r="A128" s="1914"/>
      <c r="B128" s="1827"/>
      <c r="C128" s="1991"/>
      <c r="D128" s="1942"/>
      <c r="E128" s="1942"/>
      <c r="F128" s="1915"/>
      <c r="G128" s="1987"/>
      <c r="H128" s="1988"/>
      <c r="I128" s="2344"/>
      <c r="J128" s="1608"/>
      <c r="K128" s="1606"/>
      <c r="L128" s="1630"/>
      <c r="M128" s="1629"/>
      <c r="N128" s="1606"/>
      <c r="O128" s="1628"/>
      <c r="P128" s="1989"/>
      <c r="Q128" s="1990"/>
    </row>
    <row r="129" spans="1:17" ht="12.75" customHeight="1" x14ac:dyDescent="0.25">
      <c r="A129" s="1914"/>
      <c r="B129" s="1827"/>
      <c r="C129" s="1991"/>
      <c r="D129" s="1942"/>
      <c r="E129" s="1942"/>
      <c r="F129" s="1915"/>
      <c r="G129" s="1987"/>
      <c r="H129" s="1988"/>
      <c r="I129" s="2344"/>
      <c r="J129" s="1608"/>
      <c r="K129" s="1606"/>
      <c r="L129" s="1630"/>
      <c r="M129" s="1629"/>
      <c r="N129" s="1606"/>
      <c r="O129" s="1628"/>
      <c r="P129" s="1989"/>
      <c r="Q129" s="1990"/>
    </row>
    <row r="130" spans="1:17" ht="12.75" customHeight="1" x14ac:dyDescent="0.25">
      <c r="A130" s="1914"/>
      <c r="B130" s="1827"/>
      <c r="C130" s="1991"/>
      <c r="D130" s="1942"/>
      <c r="E130" s="1942"/>
      <c r="F130" s="1915"/>
      <c r="G130" s="1987"/>
      <c r="H130" s="1988"/>
      <c r="I130" s="2344"/>
      <c r="J130" s="1608"/>
      <c r="K130" s="1606"/>
      <c r="L130" s="1630"/>
      <c r="M130" s="1629"/>
      <c r="N130" s="1606"/>
      <c r="O130" s="1628"/>
      <c r="P130" s="1989"/>
      <c r="Q130" s="1990"/>
    </row>
    <row r="131" spans="1:17" ht="12.75" customHeight="1" x14ac:dyDescent="0.25">
      <c r="A131" s="1914"/>
      <c r="B131" s="1827"/>
      <c r="C131" s="1991"/>
      <c r="D131" s="1942"/>
      <c r="E131" s="1942"/>
      <c r="F131" s="1915"/>
      <c r="G131" s="1987"/>
      <c r="H131" s="1988"/>
      <c r="I131" s="2344"/>
      <c r="J131" s="1608"/>
      <c r="K131" s="1606"/>
      <c r="L131" s="1630"/>
      <c r="M131" s="1629"/>
      <c r="N131" s="1606"/>
      <c r="O131" s="1628"/>
      <c r="P131" s="1989"/>
      <c r="Q131" s="1990"/>
    </row>
    <row r="132" spans="1:17" ht="12.75" customHeight="1" x14ac:dyDescent="0.25">
      <c r="A132" s="1914"/>
      <c r="B132" s="1827"/>
      <c r="C132" s="1991"/>
      <c r="D132" s="1942"/>
      <c r="E132" s="1942"/>
      <c r="F132" s="1915"/>
      <c r="G132" s="1987"/>
      <c r="H132" s="1988"/>
      <c r="I132" s="2344"/>
      <c r="J132" s="1608"/>
      <c r="K132" s="1606"/>
      <c r="L132" s="1630"/>
      <c r="M132" s="1629"/>
      <c r="N132" s="1606"/>
      <c r="O132" s="1628"/>
      <c r="P132" s="1989"/>
      <c r="Q132" s="1990"/>
    </row>
    <row r="133" spans="1:17" ht="12.75" customHeight="1" x14ac:dyDescent="0.25">
      <c r="A133" s="1914"/>
      <c r="B133" s="1827"/>
      <c r="C133" s="1991"/>
      <c r="D133" s="1942"/>
      <c r="E133" s="1942"/>
      <c r="F133" s="1915"/>
      <c r="G133" s="1987"/>
      <c r="H133" s="1988"/>
      <c r="I133" s="2344"/>
      <c r="J133" s="1608"/>
      <c r="K133" s="1606"/>
      <c r="L133" s="1630"/>
      <c r="M133" s="1629"/>
      <c r="N133" s="1606"/>
      <c r="O133" s="1628"/>
      <c r="P133" s="1989"/>
      <c r="Q133" s="1990"/>
    </row>
    <row r="134" spans="1:17" ht="12.75" customHeight="1" x14ac:dyDescent="0.25">
      <c r="A134" s="1914"/>
      <c r="B134" s="1827"/>
      <c r="C134" s="1991"/>
      <c r="D134" s="1942"/>
      <c r="E134" s="1942"/>
      <c r="F134" s="1915"/>
      <c r="G134" s="1987"/>
      <c r="H134" s="1988"/>
      <c r="I134" s="2344"/>
      <c r="J134" s="1608"/>
      <c r="K134" s="1606"/>
      <c r="L134" s="1630"/>
      <c r="M134" s="1629"/>
      <c r="N134" s="1606"/>
      <c r="O134" s="1628"/>
      <c r="P134" s="1989"/>
      <c r="Q134" s="1990"/>
    </row>
    <row r="135" spans="1:17" ht="12.75" customHeight="1" x14ac:dyDescent="0.25">
      <c r="A135" s="1914"/>
      <c r="B135" s="1827"/>
      <c r="C135" s="1991"/>
      <c r="D135" s="1942"/>
      <c r="E135" s="1942"/>
      <c r="F135" s="1915"/>
      <c r="G135" s="1987"/>
      <c r="H135" s="1988"/>
      <c r="I135" s="2344"/>
      <c r="J135" s="1608"/>
      <c r="K135" s="1606"/>
      <c r="L135" s="1630"/>
      <c r="M135" s="1629"/>
      <c r="N135" s="1606"/>
      <c r="O135" s="1628"/>
      <c r="P135" s="1989"/>
      <c r="Q135" s="1990"/>
    </row>
    <row r="136" spans="1:17" ht="12.75" customHeight="1" x14ac:dyDescent="0.25">
      <c r="A136" s="1914"/>
      <c r="B136" s="1827"/>
      <c r="C136" s="1991"/>
      <c r="D136" s="1942"/>
      <c r="E136" s="1942"/>
      <c r="F136" s="1915"/>
      <c r="G136" s="1987"/>
      <c r="H136" s="1988"/>
      <c r="I136" s="2344"/>
      <c r="J136" s="1608"/>
      <c r="K136" s="1606"/>
      <c r="L136" s="1630"/>
      <c r="M136" s="1629"/>
      <c r="N136" s="1606"/>
      <c r="O136" s="1628"/>
      <c r="P136" s="1989"/>
      <c r="Q136" s="1990"/>
    </row>
    <row r="137" spans="1:17" ht="12.75" customHeight="1" x14ac:dyDescent="0.25">
      <c r="A137" s="1992"/>
      <c r="B137" s="1827"/>
      <c r="C137" s="1991"/>
      <c r="D137" s="1942"/>
      <c r="E137" s="1942"/>
      <c r="F137" s="1915"/>
      <c r="G137" s="1987"/>
      <c r="H137" s="1988"/>
      <c r="I137" s="2344"/>
      <c r="J137" s="1608"/>
      <c r="K137" s="1606"/>
      <c r="L137" s="1630"/>
      <c r="M137" s="1629"/>
      <c r="N137" s="1606"/>
      <c r="O137" s="1628"/>
      <c r="P137" s="1989"/>
      <c r="Q137" s="1990"/>
    </row>
    <row r="138" spans="1:17" ht="12.75" customHeight="1" x14ac:dyDescent="0.25">
      <c r="A138" s="1993"/>
      <c r="B138" s="1827"/>
      <c r="C138" s="1991"/>
      <c r="D138" s="1942"/>
      <c r="E138" s="1942"/>
      <c r="F138" s="1915"/>
      <c r="G138" s="1987"/>
      <c r="H138" s="1988"/>
      <c r="I138" s="2344"/>
      <c r="J138" s="1608"/>
      <c r="K138" s="1606"/>
      <c r="L138" s="1630"/>
      <c r="M138" s="1629"/>
      <c r="N138" s="1606"/>
      <c r="O138" s="1628"/>
      <c r="P138" s="1989"/>
      <c r="Q138" s="1990"/>
    </row>
    <row r="139" spans="1:17" ht="12.75" customHeight="1" x14ac:dyDescent="0.25">
      <c r="A139" s="1914"/>
      <c r="B139" s="1827"/>
      <c r="C139" s="1991"/>
      <c r="D139" s="1942"/>
      <c r="E139" s="1942"/>
      <c r="F139" s="1915"/>
      <c r="G139" s="1987"/>
      <c r="H139" s="1988"/>
      <c r="I139" s="2344"/>
      <c r="J139" s="1608"/>
      <c r="K139" s="1606"/>
      <c r="L139" s="1630"/>
      <c r="M139" s="1629"/>
      <c r="N139" s="1606"/>
      <c r="O139" s="1628"/>
      <c r="P139" s="1989"/>
      <c r="Q139" s="1990"/>
    </row>
    <row r="140" spans="1:17" ht="12.75" customHeight="1" x14ac:dyDescent="0.25">
      <c r="A140" s="1914"/>
      <c r="B140" s="1827"/>
      <c r="C140" s="1991"/>
      <c r="D140" s="1942"/>
      <c r="E140" s="1942"/>
      <c r="F140" s="1915"/>
      <c r="G140" s="1987"/>
      <c r="H140" s="1988"/>
      <c r="I140" s="2344"/>
      <c r="J140" s="1608"/>
      <c r="K140" s="1606"/>
      <c r="L140" s="1630"/>
      <c r="M140" s="1629"/>
      <c r="N140" s="1606"/>
      <c r="O140" s="1628"/>
      <c r="P140" s="1989"/>
      <c r="Q140" s="1990"/>
    </row>
    <row r="141" spans="1:17" ht="12.75" customHeight="1" x14ac:dyDescent="0.25">
      <c r="A141" s="1914"/>
      <c r="B141" s="1827"/>
      <c r="C141" s="1991"/>
      <c r="D141" s="1942"/>
      <c r="E141" s="1942"/>
      <c r="F141" s="1915"/>
      <c r="G141" s="1987"/>
      <c r="H141" s="1988"/>
      <c r="I141" s="2344"/>
      <c r="J141" s="1608"/>
      <c r="K141" s="1606"/>
      <c r="L141" s="1630"/>
      <c r="M141" s="1629"/>
      <c r="N141" s="1606"/>
      <c r="O141" s="1628"/>
      <c r="P141" s="1989"/>
      <c r="Q141" s="1990"/>
    </row>
    <row r="142" spans="1:17" ht="12.75" customHeight="1" x14ac:dyDescent="0.25">
      <c r="A142" s="1992"/>
      <c r="B142" s="1827"/>
      <c r="C142" s="1991"/>
      <c r="D142" s="1942"/>
      <c r="E142" s="1942"/>
      <c r="F142" s="1915"/>
      <c r="G142" s="1987"/>
      <c r="H142" s="1988"/>
      <c r="I142" s="2344"/>
      <c r="J142" s="1608"/>
      <c r="K142" s="1606"/>
      <c r="L142" s="1630"/>
      <c r="M142" s="1629"/>
      <c r="N142" s="1606"/>
      <c r="O142" s="1628"/>
      <c r="P142" s="1989"/>
      <c r="Q142" s="1990"/>
    </row>
    <row r="143" spans="1:17" ht="12.75" customHeight="1" x14ac:dyDescent="0.25">
      <c r="A143" s="1993"/>
      <c r="B143" s="1827"/>
      <c r="C143" s="1991"/>
      <c r="D143" s="1942"/>
      <c r="E143" s="1942"/>
      <c r="F143" s="1915"/>
      <c r="G143" s="1987"/>
      <c r="H143" s="1988"/>
      <c r="I143" s="2344"/>
      <c r="J143" s="1608"/>
      <c r="K143" s="1606"/>
      <c r="L143" s="1630"/>
      <c r="M143" s="1629"/>
      <c r="N143" s="1606"/>
      <c r="O143" s="1628"/>
      <c r="P143" s="1989"/>
      <c r="Q143" s="1990"/>
    </row>
    <row r="144" spans="1:17" ht="12.75" customHeight="1" x14ac:dyDescent="0.25">
      <c r="A144" s="1914"/>
      <c r="B144" s="1827"/>
      <c r="C144" s="1991"/>
      <c r="D144" s="1942"/>
      <c r="E144" s="1942"/>
      <c r="F144" s="1915"/>
      <c r="G144" s="1987"/>
      <c r="H144" s="1988"/>
      <c r="I144" s="2344"/>
      <c r="J144" s="1608"/>
      <c r="K144" s="1606"/>
      <c r="L144" s="1630"/>
      <c r="M144" s="1629"/>
      <c r="N144" s="1606"/>
      <c r="O144" s="1628"/>
      <c r="P144" s="1989"/>
      <c r="Q144" s="1990"/>
    </row>
    <row r="145" spans="1:17" ht="12.75" customHeight="1" x14ac:dyDescent="0.25">
      <c r="A145" s="1992"/>
      <c r="B145" s="1827"/>
      <c r="C145" s="1991"/>
      <c r="D145" s="1942"/>
      <c r="E145" s="1942"/>
      <c r="F145" s="1915"/>
      <c r="G145" s="1987"/>
      <c r="H145" s="1988"/>
      <c r="I145" s="2344"/>
      <c r="J145" s="1608"/>
      <c r="K145" s="1606"/>
      <c r="L145" s="1630"/>
      <c r="M145" s="1629"/>
      <c r="N145" s="1606"/>
      <c r="O145" s="1628"/>
      <c r="P145" s="1989"/>
      <c r="Q145" s="1990"/>
    </row>
    <row r="146" spans="1:17" ht="12.75" customHeight="1" x14ac:dyDescent="0.25">
      <c r="A146" s="1993"/>
      <c r="B146" s="1827"/>
      <c r="C146" s="1991"/>
      <c r="D146" s="1942"/>
      <c r="E146" s="1942"/>
      <c r="F146" s="1915"/>
      <c r="G146" s="1987"/>
      <c r="H146" s="1988"/>
      <c r="I146" s="2344"/>
      <c r="J146" s="1608"/>
      <c r="K146" s="1606"/>
      <c r="L146" s="1630"/>
      <c r="M146" s="1629"/>
      <c r="N146" s="1606"/>
      <c r="O146" s="1628"/>
      <c r="P146" s="1989"/>
      <c r="Q146" s="1990"/>
    </row>
    <row r="147" spans="1:17" ht="12.75" customHeight="1" x14ac:dyDescent="0.25">
      <c r="A147" s="1914"/>
      <c r="B147" s="1827"/>
      <c r="C147" s="1991"/>
      <c r="D147" s="1942"/>
      <c r="E147" s="1942"/>
      <c r="F147" s="1915"/>
      <c r="G147" s="1987"/>
      <c r="H147" s="1988"/>
      <c r="I147" s="2344"/>
      <c r="J147" s="1608"/>
      <c r="K147" s="1606"/>
      <c r="L147" s="1630"/>
      <c r="M147" s="1629"/>
      <c r="N147" s="1606"/>
      <c r="O147" s="1628"/>
      <c r="P147" s="1989"/>
      <c r="Q147" s="1990"/>
    </row>
    <row r="148" spans="1:17" ht="12.75" customHeight="1" x14ac:dyDescent="0.25">
      <c r="A148" s="1992"/>
      <c r="B148" s="1827"/>
      <c r="C148" s="1991"/>
      <c r="D148" s="1942"/>
      <c r="E148" s="1942"/>
      <c r="F148" s="1915"/>
      <c r="G148" s="1987"/>
      <c r="H148" s="1988"/>
      <c r="I148" s="2344"/>
      <c r="J148" s="1608"/>
      <c r="K148" s="1606"/>
      <c r="L148" s="1630"/>
      <c r="M148" s="1629"/>
      <c r="N148" s="1606"/>
      <c r="O148" s="1628"/>
      <c r="P148" s="1989"/>
      <c r="Q148" s="1990"/>
    </row>
    <row r="149" spans="1:17" ht="12.75" customHeight="1" x14ac:dyDescent="0.25">
      <c r="A149" s="1992"/>
      <c r="B149" s="1827"/>
      <c r="C149" s="1991"/>
      <c r="D149" s="1656"/>
      <c r="E149" s="1656"/>
      <c r="F149" s="1915"/>
      <c r="G149" s="1987"/>
      <c r="H149" s="1988"/>
      <c r="I149" s="2344"/>
      <c r="J149" s="1608"/>
      <c r="K149" s="1606"/>
      <c r="L149" s="1630"/>
      <c r="M149" s="1629"/>
      <c r="N149" s="1606"/>
      <c r="O149" s="1628"/>
      <c r="P149" s="1989"/>
      <c r="Q149" s="1990"/>
    </row>
    <row r="150" spans="1:17" x14ac:dyDescent="0.25">
      <c r="A150" s="792" t="s">
        <v>1984</v>
      </c>
      <c r="B150" s="793">
        <v>1</v>
      </c>
      <c r="C150" s="2167"/>
      <c r="D150" s="2168"/>
      <c r="E150" s="2168"/>
      <c r="F150" s="2168"/>
      <c r="G150" s="2169"/>
      <c r="H150" s="2170"/>
      <c r="I150" s="2345"/>
      <c r="J150" s="279"/>
      <c r="K150" s="276"/>
      <c r="L150" s="275"/>
      <c r="M150" s="279">
        <f>SUM(M7:M149)</f>
        <v>116339135</v>
      </c>
      <c r="N150" s="276">
        <f>SUM(N7:N149)</f>
        <v>123203143.96500003</v>
      </c>
      <c r="O150" s="804">
        <f>SUM(O7:O149)</f>
        <v>130102520.02704008</v>
      </c>
      <c r="P150" s="2171">
        <f>SUM(P6:P149)</f>
        <v>0</v>
      </c>
      <c r="Q150" s="2172">
        <f>SUM(Q6:Q149)</f>
        <v>0</v>
      </c>
    </row>
    <row r="151" spans="1:17" x14ac:dyDescent="0.25">
      <c r="A151" s="953"/>
      <c r="B151" s="350"/>
      <c r="C151" s="595"/>
      <c r="D151" s="949"/>
      <c r="E151" s="949"/>
      <c r="F151" s="949"/>
      <c r="G151" s="950"/>
      <c r="H151" s="951"/>
      <c r="I151" s="2343"/>
      <c r="J151" s="206"/>
      <c r="K151" s="203"/>
      <c r="L151" s="202"/>
      <c r="M151" s="205"/>
      <c r="N151" s="203"/>
      <c r="O151" s="204"/>
      <c r="P151" s="652"/>
      <c r="Q151" s="954"/>
    </row>
    <row r="152" spans="1:17" x14ac:dyDescent="0.25">
      <c r="A152" s="649" t="s">
        <v>16</v>
      </c>
      <c r="B152" s="350"/>
      <c r="C152" s="595"/>
      <c r="D152" s="949"/>
      <c r="E152" s="949"/>
      <c r="F152" s="949"/>
      <c r="G152" s="950"/>
      <c r="H152" s="951"/>
      <c r="I152" s="2343"/>
      <c r="J152" s="206"/>
      <c r="K152" s="203"/>
      <c r="L152" s="202"/>
      <c r="M152" s="205"/>
      <c r="N152" s="203"/>
      <c r="O152" s="204"/>
      <c r="P152" s="652"/>
      <c r="Q152" s="954"/>
    </row>
    <row r="153" spans="1:17" ht="11.25" customHeight="1" x14ac:dyDescent="0.25">
      <c r="A153" s="370" t="s">
        <v>1477</v>
      </c>
      <c r="B153" s="350"/>
      <c r="C153" s="595"/>
      <c r="D153" s="949"/>
      <c r="E153" s="949"/>
      <c r="F153" s="949"/>
      <c r="G153" s="950"/>
      <c r="H153" s="951"/>
      <c r="I153" s="2343"/>
      <c r="J153" s="405"/>
      <c r="K153" s="315"/>
      <c r="L153" s="316"/>
      <c r="M153" s="317"/>
      <c r="N153" s="315"/>
      <c r="O153" s="318"/>
      <c r="P153" s="952"/>
      <c r="Q153" s="860"/>
    </row>
    <row r="154" spans="1:17" ht="5.0999999999999996" customHeight="1" x14ac:dyDescent="0.25">
      <c r="A154" s="953"/>
      <c r="B154" s="350"/>
      <c r="C154" s="595"/>
      <c r="D154" s="949"/>
      <c r="E154" s="949"/>
      <c r="F154" s="949"/>
      <c r="G154" s="950"/>
      <c r="H154" s="951"/>
      <c r="I154" s="2343"/>
      <c r="J154" s="206"/>
      <c r="K154" s="203"/>
      <c r="L154" s="202"/>
      <c r="M154" s="205"/>
      <c r="N154" s="203"/>
      <c r="O154" s="204"/>
      <c r="P154" s="652"/>
      <c r="Q154" s="954"/>
    </row>
    <row r="155" spans="1:17" ht="11.25" customHeight="1" x14ac:dyDescent="0.25">
      <c r="A155" s="1993" t="s">
        <v>1478</v>
      </c>
      <c r="B155" s="1827"/>
      <c r="C155" s="1840"/>
      <c r="D155" s="1944"/>
      <c r="E155" s="1944"/>
      <c r="F155" s="1915"/>
      <c r="G155" s="1987"/>
      <c r="H155" s="1988"/>
      <c r="I155" s="2344"/>
      <c r="J155" s="1608"/>
      <c r="K155" s="1606"/>
      <c r="L155" s="1630"/>
      <c r="M155" s="1629"/>
      <c r="N155" s="1606"/>
      <c r="O155" s="1628"/>
      <c r="P155" s="1989"/>
      <c r="Q155" s="1990"/>
    </row>
    <row r="156" spans="1:17" ht="11.25" customHeight="1" x14ac:dyDescent="0.25">
      <c r="A156" s="1914" t="s">
        <v>1479</v>
      </c>
      <c r="B156" s="1827"/>
      <c r="C156" s="1991"/>
      <c r="D156" s="1942"/>
      <c r="E156" s="1942"/>
      <c r="F156" s="1915"/>
      <c r="G156" s="1987"/>
      <c r="H156" s="1988"/>
      <c r="I156" s="2344"/>
      <c r="J156" s="1608"/>
      <c r="K156" s="1606"/>
      <c r="L156" s="1630"/>
      <c r="M156" s="1629"/>
      <c r="N156" s="1606"/>
      <c r="O156" s="1628"/>
      <c r="P156" s="1989"/>
      <c r="Q156" s="1990"/>
    </row>
    <row r="157" spans="1:17" ht="5.0999999999999996" customHeight="1" x14ac:dyDescent="0.25">
      <c r="A157" s="1992"/>
      <c r="B157" s="1827"/>
      <c r="C157" s="1991"/>
      <c r="D157" s="1942"/>
      <c r="E157" s="1942"/>
      <c r="F157" s="1915"/>
      <c r="G157" s="1987"/>
      <c r="H157" s="1988"/>
      <c r="I157" s="2344"/>
      <c r="J157" s="1608"/>
      <c r="K157" s="1606"/>
      <c r="L157" s="1630"/>
      <c r="M157" s="1629"/>
      <c r="N157" s="1606"/>
      <c r="O157" s="1628"/>
      <c r="P157" s="1989"/>
      <c r="Q157" s="1990"/>
    </row>
    <row r="158" spans="1:17" ht="11.25" customHeight="1" x14ac:dyDescent="0.25">
      <c r="A158" s="1993" t="s">
        <v>1480</v>
      </c>
      <c r="B158" s="1827"/>
      <c r="C158" s="1991"/>
      <c r="D158" s="1942"/>
      <c r="E158" s="1942"/>
      <c r="F158" s="1915"/>
      <c r="G158" s="1987"/>
      <c r="H158" s="1988"/>
      <c r="I158" s="2344"/>
      <c r="J158" s="1608"/>
      <c r="K158" s="1606"/>
      <c r="L158" s="1630"/>
      <c r="M158" s="1629"/>
      <c r="N158" s="1606"/>
      <c r="O158" s="1628"/>
      <c r="P158" s="1989"/>
      <c r="Q158" s="1990"/>
    </row>
    <row r="159" spans="1:17" ht="11.25" customHeight="1" x14ac:dyDescent="0.25">
      <c r="A159" s="1914" t="s">
        <v>1481</v>
      </c>
      <c r="B159" s="1827"/>
      <c r="C159" s="1991"/>
      <c r="D159" s="1942"/>
      <c r="E159" s="1942"/>
      <c r="F159" s="1915"/>
      <c r="G159" s="1987"/>
      <c r="H159" s="1988"/>
      <c r="I159" s="2344"/>
      <c r="J159" s="1608"/>
      <c r="K159" s="1606"/>
      <c r="L159" s="1630"/>
      <c r="M159" s="1629"/>
      <c r="N159" s="1606"/>
      <c r="O159" s="1628"/>
      <c r="P159" s="1989"/>
      <c r="Q159" s="1990"/>
    </row>
    <row r="160" spans="1:17" ht="11.25" customHeight="1" x14ac:dyDescent="0.25">
      <c r="A160" s="1914"/>
      <c r="B160" s="1827"/>
      <c r="C160" s="1991"/>
      <c r="D160" s="1942"/>
      <c r="E160" s="1942"/>
      <c r="F160" s="1915"/>
      <c r="G160" s="1987"/>
      <c r="H160" s="1988"/>
      <c r="I160" s="2344"/>
      <c r="J160" s="1608"/>
      <c r="K160" s="1606"/>
      <c r="L160" s="1630"/>
      <c r="M160" s="1629"/>
      <c r="N160" s="1606"/>
      <c r="O160" s="1628"/>
      <c r="P160" s="1989"/>
      <c r="Q160" s="1990"/>
    </row>
    <row r="161" spans="1:17" ht="11.25" customHeight="1" x14ac:dyDescent="0.25">
      <c r="A161" s="1914"/>
      <c r="B161" s="1827"/>
      <c r="C161" s="1991"/>
      <c r="D161" s="1656"/>
      <c r="E161" s="1656"/>
      <c r="F161" s="1915"/>
      <c r="G161" s="1987"/>
      <c r="H161" s="1988"/>
      <c r="I161" s="2344"/>
      <c r="J161" s="1608"/>
      <c r="K161" s="1606"/>
      <c r="L161" s="1630"/>
      <c r="M161" s="1629"/>
      <c r="N161" s="1606"/>
      <c r="O161" s="1628"/>
      <c r="P161" s="1989"/>
      <c r="Q161" s="1990"/>
    </row>
    <row r="162" spans="1:17" ht="11.25" customHeight="1" x14ac:dyDescent="0.25">
      <c r="A162" s="1992"/>
      <c r="B162" s="1827"/>
      <c r="C162" s="1991"/>
      <c r="D162" s="1656"/>
      <c r="E162" s="1656"/>
      <c r="F162" s="1915"/>
      <c r="G162" s="1987"/>
      <c r="H162" s="1988"/>
      <c r="I162" s="2344"/>
      <c r="J162" s="1608"/>
      <c r="K162" s="1606"/>
      <c r="L162" s="1630"/>
      <c r="M162" s="1629"/>
      <c r="N162" s="1606"/>
      <c r="O162" s="1628"/>
      <c r="P162" s="1989"/>
      <c r="Q162" s="1990"/>
    </row>
    <row r="163" spans="1:17" x14ac:dyDescent="0.25">
      <c r="A163" s="2169" t="s">
        <v>1983</v>
      </c>
      <c r="B163" s="793"/>
      <c r="C163" s="2200"/>
      <c r="D163" s="2199"/>
      <c r="E163" s="2205"/>
      <c r="F163" s="2205"/>
      <c r="G163" s="2205"/>
      <c r="H163" s="2205"/>
      <c r="I163" s="2172"/>
      <c r="J163" s="279"/>
      <c r="K163" s="276">
        <f>SUM(K155:K162)</f>
        <v>0</v>
      </c>
      <c r="L163" s="804">
        <f>SUM(L155:L162)</f>
        <v>0</v>
      </c>
      <c r="M163" s="279">
        <f>SUM(M155:M162)</f>
        <v>0</v>
      </c>
      <c r="N163" s="276">
        <f>SUM(N155:N162)</f>
        <v>0</v>
      </c>
      <c r="O163" s="804">
        <f>SUM(O155:O162)</f>
        <v>0</v>
      </c>
      <c r="P163" s="2204"/>
      <c r="Q163" s="2203"/>
    </row>
    <row r="164" spans="1:17" x14ac:dyDescent="0.25">
      <c r="A164" s="2169" t="s">
        <v>918</v>
      </c>
      <c r="B164" s="793"/>
      <c r="C164" s="2200"/>
      <c r="D164" s="2199"/>
      <c r="E164" s="2205"/>
      <c r="F164" s="2205"/>
      <c r="G164" s="2205"/>
      <c r="H164" s="2205"/>
      <c r="I164" s="2172"/>
      <c r="J164" s="2201"/>
      <c r="K164" s="230">
        <f>SUM(K7:K149)+SUM(K155:K162)</f>
        <v>113650291.00000001</v>
      </c>
      <c r="L164" s="2202">
        <f>SUM(L7:L149)+SUM(L155:L162)</f>
        <v>110819751.63</v>
      </c>
      <c r="M164" s="232">
        <f>SUM(M7:M149)+SUM(M155:M162)</f>
        <v>116339135</v>
      </c>
      <c r="N164" s="230">
        <f>SUM(N7:N149)+SUM(N155:N162)</f>
        <v>123203143.96500003</v>
      </c>
      <c r="O164" s="2202">
        <f>SUM(O7:O149)+SUM(O155:O162)</f>
        <v>130102520.02704008</v>
      </c>
      <c r="P164" s="594"/>
      <c r="Q164" s="241"/>
    </row>
    <row r="165" spans="1:17" s="708" customFormat="1" ht="11.25" customHeight="1" x14ac:dyDescent="0.25">
      <c r="A165" s="1228" t="str">
        <f>head27a</f>
        <v>References</v>
      </c>
      <c r="C165" s="1057"/>
      <c r="Q165" s="1082"/>
    </row>
    <row r="166" spans="1:17" s="708" customFormat="1" ht="11.25" customHeight="1" x14ac:dyDescent="0.25">
      <c r="A166" s="1190" t="s">
        <v>1536</v>
      </c>
    </row>
    <row r="167" spans="1:17" s="708" customFormat="1" ht="11.25" customHeight="1" x14ac:dyDescent="0.25">
      <c r="A167" s="1190" t="s">
        <v>2238</v>
      </c>
    </row>
    <row r="168" spans="1:17" s="708" customFormat="1" ht="11.25" customHeight="1" x14ac:dyDescent="0.25">
      <c r="A168" s="1190" t="s">
        <v>1985</v>
      </c>
    </row>
    <row r="169" spans="1:17" s="708" customFormat="1" ht="11.25" customHeight="1" x14ac:dyDescent="0.25">
      <c r="A169" s="149" t="s">
        <v>1986</v>
      </c>
    </row>
    <row r="170" spans="1:17" ht="11.25" customHeight="1" x14ac:dyDescent="0.25">
      <c r="A170" s="149" t="s">
        <v>2057</v>
      </c>
      <c r="B170" s="149"/>
    </row>
    <row r="171" spans="1:17" x14ac:dyDescent="0.25">
      <c r="A171" s="149" t="s">
        <v>2235</v>
      </c>
      <c r="B171" s="149"/>
      <c r="J171" s="149" t="s">
        <v>546</v>
      </c>
      <c r="K171" s="362">
        <f>SUM(SA34a!E77+SA34b!E77)-'SA36'!K164</f>
        <v>0</v>
      </c>
    </row>
    <row r="172" spans="1:17" ht="11.25" customHeight="1" x14ac:dyDescent="0.25">
      <c r="B172" s="149"/>
    </row>
    <row r="173" spans="1:17" ht="11.25" customHeight="1" x14ac:dyDescent="0.25">
      <c r="B173" s="149"/>
    </row>
    <row r="174" spans="1:17" ht="11.25" customHeight="1" x14ac:dyDescent="0.25">
      <c r="B174" s="149"/>
    </row>
    <row r="175" spans="1:17" ht="11.25" customHeight="1" x14ac:dyDescent="0.25">
      <c r="B175" s="149"/>
    </row>
    <row r="176" spans="1:17" ht="11.25" customHeight="1" x14ac:dyDescent="0.25">
      <c r="B176" s="149"/>
    </row>
    <row r="177" spans="2:2" ht="11.25" customHeight="1" x14ac:dyDescent="0.25">
      <c r="B177" s="149"/>
    </row>
    <row r="178" spans="2:2" ht="11.25" customHeight="1" x14ac:dyDescent="0.25">
      <c r="B178" s="149"/>
    </row>
    <row r="179" spans="2:2" ht="11.25" customHeight="1" x14ac:dyDescent="0.25">
      <c r="B179" s="149"/>
    </row>
    <row r="180" spans="2:2" ht="11.25" customHeight="1" x14ac:dyDescent="0.25">
      <c r="B180" s="149"/>
    </row>
    <row r="181" spans="2:2" ht="11.25" customHeight="1" x14ac:dyDescent="0.25">
      <c r="B181" s="149"/>
    </row>
    <row r="182" spans="2:2" ht="11.25" customHeight="1" x14ac:dyDescent="0.25">
      <c r="B182" s="149"/>
    </row>
    <row r="183" spans="2:2" ht="11.25" customHeight="1" x14ac:dyDescent="0.25">
      <c r="B183" s="149"/>
    </row>
    <row r="184" spans="2:2" ht="11.25" customHeight="1" x14ac:dyDescent="0.25">
      <c r="B184" s="149"/>
    </row>
    <row r="185" spans="2:2" ht="11.25" customHeight="1" x14ac:dyDescent="0.25">
      <c r="B185" s="149"/>
    </row>
    <row r="186" spans="2:2" ht="11.25" customHeight="1" x14ac:dyDescent="0.25">
      <c r="B186" s="149"/>
    </row>
    <row r="187" spans="2:2" ht="11.25" customHeight="1" x14ac:dyDescent="0.25">
      <c r="B187" s="149"/>
    </row>
    <row r="188" spans="2:2" ht="11.25" customHeight="1" x14ac:dyDescent="0.25">
      <c r="B188" s="149"/>
    </row>
    <row r="189" spans="2:2" ht="11.25" customHeight="1" x14ac:dyDescent="0.25">
      <c r="B189" s="149"/>
    </row>
    <row r="190" spans="2:2" ht="11.25" customHeight="1" x14ac:dyDescent="0.25">
      <c r="B190" s="149"/>
    </row>
    <row r="191" spans="2:2" ht="11.25" customHeight="1" x14ac:dyDescent="0.25">
      <c r="B191" s="149"/>
    </row>
    <row r="192" spans="2:2" ht="11.25" customHeight="1" x14ac:dyDescent="0.25">
      <c r="B192" s="149"/>
    </row>
    <row r="193" spans="2:2" ht="11.25" customHeight="1" x14ac:dyDescent="0.25">
      <c r="B193" s="149"/>
    </row>
    <row r="194" spans="2:2" ht="11.25" customHeight="1" x14ac:dyDescent="0.25">
      <c r="B194" s="149"/>
    </row>
    <row r="195" spans="2:2" x14ac:dyDescent="0.25">
      <c r="B195" s="149"/>
    </row>
    <row r="196" spans="2:2" x14ac:dyDescent="0.25">
      <c r="B196" s="149"/>
    </row>
    <row r="197" spans="2:2" ht="11.25" customHeight="1" x14ac:dyDescent="0.25">
      <c r="B197" s="149"/>
    </row>
    <row r="198" spans="2:2" ht="22.5" customHeight="1" x14ac:dyDescent="0.25">
      <c r="B198" s="149"/>
    </row>
    <row r="199" spans="2:2" x14ac:dyDescent="0.25">
      <c r="B199" s="149"/>
    </row>
    <row r="200" spans="2:2" x14ac:dyDescent="0.25">
      <c r="B200" s="149"/>
    </row>
    <row r="201" spans="2:2" ht="11.25" customHeight="1" x14ac:dyDescent="0.25">
      <c r="B201" s="149"/>
    </row>
    <row r="202" spans="2:2" ht="11.25" customHeight="1" x14ac:dyDescent="0.25">
      <c r="B202" s="149"/>
    </row>
    <row r="203" spans="2:2" ht="11.25" customHeight="1" x14ac:dyDescent="0.25">
      <c r="B203" s="149"/>
    </row>
    <row r="204" spans="2:2" ht="11.25" customHeight="1" x14ac:dyDescent="0.25">
      <c r="B204" s="149"/>
    </row>
    <row r="205" spans="2:2" ht="11.25" customHeight="1" x14ac:dyDescent="0.25">
      <c r="B205" s="149"/>
    </row>
    <row r="206" spans="2:2" ht="11.25" customHeight="1" x14ac:dyDescent="0.25">
      <c r="B206" s="149"/>
    </row>
    <row r="207" spans="2:2" ht="11.25" customHeight="1" x14ac:dyDescent="0.25">
      <c r="B207" s="149"/>
    </row>
    <row r="208" spans="2:2" ht="11.25" customHeight="1" x14ac:dyDescent="0.25">
      <c r="B208" s="149"/>
    </row>
    <row r="209" spans="2:2" ht="11.25" customHeight="1" x14ac:dyDescent="0.25">
      <c r="B209" s="149"/>
    </row>
    <row r="210" spans="2:2" ht="11.25" customHeight="1" x14ac:dyDescent="0.25">
      <c r="B210" s="149"/>
    </row>
    <row r="211" spans="2:2" ht="11.25" customHeight="1" x14ac:dyDescent="0.25">
      <c r="B211" s="149"/>
    </row>
    <row r="212" spans="2:2" ht="11.25" customHeight="1" x14ac:dyDescent="0.25">
      <c r="B212" s="149"/>
    </row>
    <row r="213" spans="2:2" ht="11.25" customHeight="1" x14ac:dyDescent="0.25">
      <c r="B213" s="149"/>
    </row>
    <row r="214" spans="2:2" ht="11.25" customHeight="1" x14ac:dyDescent="0.25">
      <c r="B214" s="149"/>
    </row>
    <row r="215" spans="2:2" ht="11.25" customHeight="1" x14ac:dyDescent="0.25">
      <c r="B215" s="149"/>
    </row>
    <row r="216" spans="2:2" ht="11.25" customHeight="1" x14ac:dyDescent="0.25">
      <c r="B216" s="149"/>
    </row>
    <row r="217" spans="2:2" ht="11.25" customHeight="1" x14ac:dyDescent="0.25">
      <c r="B217" s="149"/>
    </row>
    <row r="218" spans="2:2" ht="11.25" customHeight="1" x14ac:dyDescent="0.25">
      <c r="B218" s="149"/>
    </row>
    <row r="219" spans="2:2" ht="11.25" customHeight="1" x14ac:dyDescent="0.25">
      <c r="B219" s="149"/>
    </row>
    <row r="220" spans="2:2" ht="11.25" customHeight="1" x14ac:dyDescent="0.25">
      <c r="B220" s="149"/>
    </row>
    <row r="221" spans="2:2" ht="11.25" customHeight="1" x14ac:dyDescent="0.25">
      <c r="B221" s="149"/>
    </row>
    <row r="222" spans="2:2" ht="11.25" customHeight="1" x14ac:dyDescent="0.25">
      <c r="B222" s="149"/>
    </row>
    <row r="223" spans="2:2" ht="11.25" customHeight="1" x14ac:dyDescent="0.25">
      <c r="B223" s="149"/>
    </row>
    <row r="224" spans="2:2" ht="11.25" customHeight="1" x14ac:dyDescent="0.25">
      <c r="B224" s="149"/>
    </row>
    <row r="225" spans="2:2" ht="11.25" customHeight="1" x14ac:dyDescent="0.25">
      <c r="B225" s="149"/>
    </row>
    <row r="226" spans="2:2" ht="11.25" customHeight="1" x14ac:dyDescent="0.25">
      <c r="B226" s="149"/>
    </row>
    <row r="227" spans="2:2" ht="11.25" customHeight="1" x14ac:dyDescent="0.25">
      <c r="B227" s="149"/>
    </row>
    <row r="228" spans="2:2" ht="11.25" customHeight="1" x14ac:dyDescent="0.25">
      <c r="B228" s="149"/>
    </row>
    <row r="229" spans="2:2" ht="11.25" customHeight="1" x14ac:dyDescent="0.25">
      <c r="B229" s="149"/>
    </row>
    <row r="230" spans="2:2" ht="11.25" customHeight="1" x14ac:dyDescent="0.25">
      <c r="B230" s="149"/>
    </row>
    <row r="231" spans="2:2" ht="11.25" customHeight="1" x14ac:dyDescent="0.25">
      <c r="B231" s="149"/>
    </row>
    <row r="232" spans="2:2" ht="11.25" customHeight="1" x14ac:dyDescent="0.25">
      <c r="B232" s="149"/>
    </row>
    <row r="233" spans="2:2" ht="11.25" customHeight="1" x14ac:dyDescent="0.25">
      <c r="B233" s="149"/>
    </row>
    <row r="234" spans="2:2" ht="11.25" customHeight="1" x14ac:dyDescent="0.25">
      <c r="B234" s="149"/>
    </row>
    <row r="235" spans="2:2" ht="11.25" customHeight="1" x14ac:dyDescent="0.25">
      <c r="B235" s="149"/>
    </row>
    <row r="236" spans="2:2" ht="11.25" customHeight="1" x14ac:dyDescent="0.25">
      <c r="B236" s="149"/>
    </row>
    <row r="237" spans="2:2" ht="11.25" customHeight="1" x14ac:dyDescent="0.25">
      <c r="B237" s="149"/>
    </row>
    <row r="238" spans="2:2" x14ac:dyDescent="0.25">
      <c r="B238" s="149"/>
    </row>
    <row r="239" spans="2:2" x14ac:dyDescent="0.25">
      <c r="B239" s="149"/>
    </row>
    <row r="240" spans="2:2" x14ac:dyDescent="0.25">
      <c r="B240" s="149"/>
    </row>
    <row r="241" spans="2:2" x14ac:dyDescent="0.25">
      <c r="B241" s="149"/>
    </row>
    <row r="242" spans="2:2" x14ac:dyDescent="0.25">
      <c r="B242" s="149"/>
    </row>
    <row r="243" spans="2:2" x14ac:dyDescent="0.25">
      <c r="B243" s="149"/>
    </row>
    <row r="244" spans="2:2" x14ac:dyDescent="0.25">
      <c r="B244" s="149"/>
    </row>
    <row r="245" spans="2:2" x14ac:dyDescent="0.25">
      <c r="B245" s="149"/>
    </row>
    <row r="246" spans="2:2" x14ac:dyDescent="0.25">
      <c r="B246" s="149"/>
    </row>
    <row r="247" spans="2:2" x14ac:dyDescent="0.25">
      <c r="B247" s="149"/>
    </row>
    <row r="248" spans="2:2" x14ac:dyDescent="0.25">
      <c r="B248" s="149"/>
    </row>
    <row r="249" spans="2:2" x14ac:dyDescent="0.25">
      <c r="B249" s="149"/>
    </row>
    <row r="250" spans="2:2" x14ac:dyDescent="0.25">
      <c r="B250" s="149"/>
    </row>
    <row r="251" spans="2:2" x14ac:dyDescent="0.25">
      <c r="B251" s="149"/>
    </row>
    <row r="252" spans="2:2" x14ac:dyDescent="0.25">
      <c r="B252" s="149"/>
    </row>
    <row r="253" spans="2:2" x14ac:dyDescent="0.25">
      <c r="B253" s="149"/>
    </row>
    <row r="254" spans="2:2" x14ac:dyDescent="0.25">
      <c r="B254" s="149"/>
    </row>
    <row r="255" spans="2:2" x14ac:dyDescent="0.25">
      <c r="B255" s="149"/>
    </row>
    <row r="256" spans="2:2" x14ac:dyDescent="0.25">
      <c r="B256" s="149"/>
    </row>
    <row r="257" spans="2:2" x14ac:dyDescent="0.25">
      <c r="B257" s="149"/>
    </row>
    <row r="258" spans="2:2" x14ac:dyDescent="0.25">
      <c r="B258" s="149"/>
    </row>
    <row r="259" spans="2:2" x14ac:dyDescent="0.25">
      <c r="B259" s="149"/>
    </row>
    <row r="260" spans="2:2" x14ac:dyDescent="0.25">
      <c r="B260" s="149"/>
    </row>
  </sheetData>
  <sheetProtection sheet="1" objects="1" scenarios="1"/>
  <customSheetViews>
    <customSheetView guid="{F50C5479-5CC4-4FD7-8319-543D29E829F0}" showGridLines="0" fitToPage="1">
      <pane xSplit="3" ySplit="3" topLeftCell="D8" activePane="bottomRight" state="frozen"/>
      <selection pane="bottomRight" activeCell="F22" sqref="F22"/>
      <pageMargins left="0" right="0" top="0.78740157480314965" bottom="0.59055118110236227" header="0.51181102362204722" footer="0.39370078740157483"/>
      <printOptions horizontalCentered="1"/>
      <pageSetup paperSize="9" scale="66" orientation="landscape" r:id="rId1"/>
      <headerFooter alignWithMargins="0"/>
    </customSheetView>
  </customSheetViews>
  <mergeCells count="7">
    <mergeCell ref="P2:Q2"/>
    <mergeCell ref="C2:C3"/>
    <mergeCell ref="D2:D3"/>
    <mergeCell ref="E2:E3"/>
    <mergeCell ref="K2:L2"/>
    <mergeCell ref="J2:J3"/>
    <mergeCell ref="M2:O2"/>
  </mergeCells>
  <phoneticPr fontId="2" type="noConversion"/>
  <dataValidations xWindow="526" yWindow="412" count="3">
    <dataValidation type="list" allowBlank="1" showInputMessage="1" showErrorMessage="1" promptTitle="Select Asset Class" prompt="Select asset class from list" sqref="G7:G149 G155:G162">
      <formula1>Asset_Class</formula1>
    </dataValidation>
    <dataValidation type="list" allowBlank="1" showInputMessage="1" showErrorMessage="1" promptTitle="Select Asset Sub-Class" prompt="Select asset sub class from list" sqref="H7:H149 H155:H162">
      <formula1>Asset_sub_class</formula1>
    </dataValidation>
    <dataValidation type="list" allowBlank="1" showInputMessage="1" showErrorMessage="1" promptTitle="Yes/No" prompt="Please select" sqref="F7:F149 F155:F162">
      <formula1>List1</formula1>
    </dataValidation>
  </dataValidations>
  <printOptions horizontalCentered="1"/>
  <pageMargins left="0" right="0" top="0.78740157480314965" bottom="0.59055118110236227" header="0.51181102362204722" footer="0.39370078740157483"/>
  <pageSetup paperSize="9" scale="40"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indexed="42"/>
    <pageSetUpPr fitToPage="1"/>
  </sheetPr>
  <dimension ref="A1:M90"/>
  <sheetViews>
    <sheetView showGridLines="0" zoomScaleNormal="100" workbookViewId="0">
      <pane xSplit="3" ySplit="4" topLeftCell="D5" activePane="bottomRight" state="frozen"/>
      <selection pane="topRight"/>
      <selection pane="bottomLeft"/>
      <selection pane="bottomRight" activeCell="G13" sqref="G13"/>
    </sheetView>
  </sheetViews>
  <sheetFormatPr defaultRowHeight="12.75" x14ac:dyDescent="0.25"/>
  <cols>
    <col min="1" max="1" width="26.42578125" style="149" customWidth="1"/>
    <col min="2" max="2" width="4.7109375" style="967" customWidth="1"/>
    <col min="3" max="3" width="26.42578125" style="149" customWidth="1"/>
    <col min="4" max="4" width="6.42578125" style="149" customWidth="1"/>
    <col min="5" max="6" width="26.42578125" style="149" customWidth="1"/>
    <col min="7" max="7" width="17.7109375" style="149" customWidth="1"/>
    <col min="8" max="13" width="9.28515625" style="149" customWidth="1"/>
    <col min="14" max="14" width="7.42578125" style="149" bestFit="1" customWidth="1"/>
    <col min="15" max="15" width="9.85546875" style="149" customWidth="1"/>
    <col min="16" max="16" width="9.5703125" style="149" customWidth="1"/>
    <col min="17" max="17" width="9.85546875" style="149" customWidth="1"/>
    <col min="18" max="20" width="9.5703125" style="149" customWidth="1"/>
    <col min="21" max="21" width="9.85546875" style="149" customWidth="1"/>
    <col min="22" max="24" width="9.5703125" style="149" customWidth="1"/>
    <col min="25" max="26" width="9.85546875" style="149" customWidth="1"/>
    <col min="27" max="16384" width="9.140625" style="149"/>
  </cols>
  <sheetData>
    <row r="1" spans="1:13" ht="13.5" customHeight="1" x14ac:dyDescent="0.25">
      <c r="A1" s="147" t="str">
        <f>muni&amp;" - "&amp;TableA37</f>
        <v>MP315 Thembisile Hani - Supporting Table SA37 Projects delayed from previous financial year/s</v>
      </c>
      <c r="B1" s="2182"/>
      <c r="C1" s="147"/>
      <c r="D1" s="147"/>
      <c r="E1" s="147"/>
      <c r="F1" s="147"/>
      <c r="G1" s="147"/>
      <c r="H1" s="147"/>
      <c r="I1" s="147"/>
      <c r="J1" s="147"/>
      <c r="K1" s="147"/>
      <c r="L1" s="147"/>
      <c r="M1" s="147"/>
    </row>
    <row r="2" spans="1:13" ht="23.25" customHeight="1" x14ac:dyDescent="0.25">
      <c r="A2" s="2852" t="s">
        <v>960</v>
      </c>
      <c r="B2" s="2183" t="s">
        <v>1982</v>
      </c>
      <c r="C2" s="2855" t="s">
        <v>1349</v>
      </c>
      <c r="D2" s="2820" t="s">
        <v>1350</v>
      </c>
      <c r="E2" s="2820" t="s">
        <v>2059</v>
      </c>
      <c r="F2" s="2848" t="s">
        <v>2058</v>
      </c>
      <c r="G2" s="2800" t="s">
        <v>2061</v>
      </c>
      <c r="H2" s="2848" t="str">
        <f>Head47</f>
        <v>Previous target year to complete</v>
      </c>
      <c r="I2" s="2841" t="str">
        <f>Head2</f>
        <v>Current Year 2014/15</v>
      </c>
      <c r="J2" s="2764"/>
      <c r="K2" s="2763" t="str">
        <f>Head3</f>
        <v>2015/16 Medium Term Revenue &amp; Expenditure Framework</v>
      </c>
      <c r="L2" s="2764"/>
      <c r="M2" s="2765"/>
    </row>
    <row r="3" spans="1:13" ht="25.5" x14ac:dyDescent="0.25">
      <c r="A3" s="2853"/>
      <c r="B3" s="2198" t="s">
        <v>1936</v>
      </c>
      <c r="C3" s="2856"/>
      <c r="D3" s="2858" t="s">
        <v>1784</v>
      </c>
      <c r="E3" s="2858"/>
      <c r="F3" s="2854"/>
      <c r="G3" s="2860"/>
      <c r="H3" s="2854"/>
      <c r="I3" s="659" t="str">
        <f>Head6</f>
        <v>Original Budget</v>
      </c>
      <c r="J3" s="956" t="str">
        <f>Head8</f>
        <v>Full Year Forecast</v>
      </c>
      <c r="K3" s="151" t="str">
        <f>Head9</f>
        <v>Budget Year 2015/16</v>
      </c>
      <c r="L3" s="152" t="str">
        <f>Head10</f>
        <v>Budget Year +1 2016/17</v>
      </c>
      <c r="M3" s="153" t="str">
        <f>Head11</f>
        <v>Budget Year +2 2017/18</v>
      </c>
    </row>
    <row r="4" spans="1:13" ht="11.25" customHeight="1" x14ac:dyDescent="0.25">
      <c r="A4" s="180" t="s">
        <v>662</v>
      </c>
      <c r="B4" s="2184"/>
      <c r="C4" s="2857"/>
      <c r="D4" s="2821" t="s">
        <v>1011</v>
      </c>
      <c r="E4" s="2821"/>
      <c r="F4" s="2859"/>
      <c r="G4" s="2801"/>
      <c r="H4" s="2346" t="s">
        <v>305</v>
      </c>
      <c r="I4" s="138"/>
      <c r="J4" s="139"/>
      <c r="K4" s="155"/>
      <c r="L4" s="138"/>
      <c r="M4" s="156"/>
    </row>
    <row r="5" spans="1:13" ht="11.25" customHeight="1" x14ac:dyDescent="0.25">
      <c r="A5" s="941" t="s">
        <v>1476</v>
      </c>
      <c r="B5" s="2185"/>
      <c r="C5" s="2175"/>
      <c r="D5" s="944"/>
      <c r="E5" s="945"/>
      <c r="F5" s="946"/>
      <c r="G5" s="2341"/>
      <c r="H5" s="957"/>
      <c r="I5" s="931"/>
      <c r="J5" s="958"/>
      <c r="K5" s="959"/>
      <c r="L5" s="931"/>
      <c r="M5" s="960"/>
    </row>
    <row r="6" spans="1:13" ht="11.25" customHeight="1" x14ac:dyDescent="0.25">
      <c r="A6" s="370" t="s">
        <v>2848</v>
      </c>
      <c r="B6" s="2186"/>
      <c r="C6" s="2176"/>
      <c r="D6" s="949"/>
      <c r="E6" s="950" t="s">
        <v>961</v>
      </c>
      <c r="F6" s="951" t="s">
        <v>961</v>
      </c>
      <c r="G6" s="2343"/>
      <c r="H6" s="961"/>
      <c r="I6" s="962"/>
      <c r="J6" s="963"/>
      <c r="K6" s="964"/>
      <c r="L6" s="962"/>
      <c r="M6" s="965"/>
    </row>
    <row r="7" spans="1:13" ht="11.25" customHeight="1" x14ac:dyDescent="0.25">
      <c r="A7" s="370"/>
      <c r="B7" s="2186"/>
      <c r="C7" s="2176"/>
      <c r="D7" s="949"/>
      <c r="E7" s="950"/>
      <c r="F7" s="951"/>
      <c r="G7" s="2343"/>
      <c r="H7" s="961"/>
      <c r="I7" s="962"/>
      <c r="J7" s="963"/>
      <c r="K7" s="964"/>
      <c r="L7" s="962"/>
      <c r="M7" s="965"/>
    </row>
    <row r="8" spans="1:13" ht="11.25" customHeight="1" x14ac:dyDescent="0.25">
      <c r="A8" s="1993"/>
      <c r="B8" s="2187"/>
      <c r="C8" s="2687" t="s">
        <v>2790</v>
      </c>
      <c r="D8" s="1944"/>
      <c r="E8" s="1987" t="s">
        <v>21</v>
      </c>
      <c r="F8" s="1988" t="s">
        <v>137</v>
      </c>
      <c r="G8" s="2344" t="s">
        <v>2944</v>
      </c>
      <c r="H8" s="1994">
        <v>2013</v>
      </c>
      <c r="I8" s="1975"/>
      <c r="J8" s="1995"/>
      <c r="K8" s="1977">
        <v>100000</v>
      </c>
      <c r="L8" s="1975">
        <f t="shared" ref="L8:L13" si="0">K8*1.059</f>
        <v>105900</v>
      </c>
      <c r="M8" s="1978">
        <f t="shared" ref="M8:M13" si="1">L8*1.056</f>
        <v>111830.40000000001</v>
      </c>
    </row>
    <row r="9" spans="1:13" ht="11.25" customHeight="1" x14ac:dyDescent="0.25">
      <c r="A9" s="1993"/>
      <c r="B9" s="2187"/>
      <c r="C9" s="2687" t="s">
        <v>2792</v>
      </c>
      <c r="D9" s="1944"/>
      <c r="E9" s="1987" t="s">
        <v>21</v>
      </c>
      <c r="F9" s="1988" t="s">
        <v>137</v>
      </c>
      <c r="G9" s="2344" t="s">
        <v>2945</v>
      </c>
      <c r="H9" s="1994">
        <v>2013</v>
      </c>
      <c r="I9" s="1975"/>
      <c r="J9" s="1995"/>
      <c r="K9" s="1977">
        <v>351017</v>
      </c>
      <c r="L9" s="1975">
        <f t="shared" si="0"/>
        <v>371727.00299999997</v>
      </c>
      <c r="M9" s="1978">
        <f t="shared" si="1"/>
        <v>392543.71516799997</v>
      </c>
    </row>
    <row r="10" spans="1:13" ht="11.25" customHeight="1" x14ac:dyDescent="0.25">
      <c r="A10" s="1993"/>
      <c r="B10" s="2187"/>
      <c r="C10" s="2687" t="s">
        <v>2791</v>
      </c>
      <c r="D10" s="1944"/>
      <c r="E10" s="1987" t="s">
        <v>21</v>
      </c>
      <c r="F10" s="1988" t="s">
        <v>137</v>
      </c>
      <c r="G10" s="2344" t="s">
        <v>2946</v>
      </c>
      <c r="H10" s="1994">
        <v>2013</v>
      </c>
      <c r="I10" s="1975"/>
      <c r="J10" s="1995"/>
      <c r="K10" s="1977">
        <v>351017</v>
      </c>
      <c r="L10" s="1975">
        <f t="shared" si="0"/>
        <v>371727.00299999997</v>
      </c>
      <c r="M10" s="1978">
        <f t="shared" si="1"/>
        <v>392543.71516799997</v>
      </c>
    </row>
    <row r="11" spans="1:13" ht="11.25" customHeight="1" x14ac:dyDescent="0.25">
      <c r="A11" s="1993"/>
      <c r="B11" s="2187"/>
      <c r="C11" s="2687" t="s">
        <v>2793</v>
      </c>
      <c r="D11" s="1944"/>
      <c r="E11" s="1987" t="s">
        <v>21</v>
      </c>
      <c r="F11" s="1988" t="s">
        <v>137</v>
      </c>
      <c r="G11" s="2344" t="s">
        <v>2947</v>
      </c>
      <c r="H11" s="1994">
        <v>2013</v>
      </c>
      <c r="I11" s="1975"/>
      <c r="J11" s="1995"/>
      <c r="K11" s="1977">
        <v>351017</v>
      </c>
      <c r="L11" s="1975">
        <f t="shared" si="0"/>
        <v>371727.00299999997</v>
      </c>
      <c r="M11" s="1978">
        <f t="shared" si="1"/>
        <v>392543.71516799997</v>
      </c>
    </row>
    <row r="12" spans="1:13" ht="11.25" customHeight="1" x14ac:dyDescent="0.25">
      <c r="A12" s="1914"/>
      <c r="B12" s="2187"/>
      <c r="C12" s="2687" t="s">
        <v>2794</v>
      </c>
      <c r="D12" s="1944"/>
      <c r="E12" s="1987" t="s">
        <v>21</v>
      </c>
      <c r="F12" s="1988" t="s">
        <v>137</v>
      </c>
      <c r="G12" s="2344" t="s">
        <v>2948</v>
      </c>
      <c r="H12" s="1994">
        <v>2013</v>
      </c>
      <c r="I12" s="1975"/>
      <c r="J12" s="1995"/>
      <c r="K12" s="1977">
        <v>351017</v>
      </c>
      <c r="L12" s="1975">
        <f t="shared" si="0"/>
        <v>371727.00299999997</v>
      </c>
      <c r="M12" s="1978">
        <f t="shared" si="1"/>
        <v>392543.71516799997</v>
      </c>
    </row>
    <row r="13" spans="1:13" ht="11.25" customHeight="1" x14ac:dyDescent="0.25">
      <c r="A13" s="1914"/>
      <c r="B13" s="2187"/>
      <c r="C13" s="2687" t="s">
        <v>2795</v>
      </c>
      <c r="D13" s="1944"/>
      <c r="E13" s="1987" t="s">
        <v>21</v>
      </c>
      <c r="F13" s="1988" t="s">
        <v>137</v>
      </c>
      <c r="G13" s="2344" t="s">
        <v>2949</v>
      </c>
      <c r="H13" s="1994">
        <v>2013</v>
      </c>
      <c r="I13" s="1975"/>
      <c r="J13" s="1995"/>
      <c r="K13" s="1977">
        <v>900000</v>
      </c>
      <c r="L13" s="1975">
        <f t="shared" si="0"/>
        <v>953100</v>
      </c>
      <c r="M13" s="1978">
        <f t="shared" si="1"/>
        <v>1006473.6000000001</v>
      </c>
    </row>
    <row r="14" spans="1:13" ht="11.25" customHeight="1" x14ac:dyDescent="0.25">
      <c r="A14" s="1993"/>
      <c r="B14" s="2187"/>
      <c r="C14" s="2177"/>
      <c r="D14" s="1944"/>
      <c r="E14" s="1987"/>
      <c r="F14" s="1988"/>
      <c r="G14" s="2344"/>
      <c r="H14" s="1994"/>
      <c r="I14" s="1975"/>
      <c r="J14" s="1995"/>
      <c r="K14" s="1977"/>
      <c r="L14" s="1975"/>
      <c r="M14" s="1978"/>
    </row>
    <row r="15" spans="1:13" ht="11.25" customHeight="1" x14ac:dyDescent="0.25">
      <c r="A15" s="1914"/>
      <c r="B15" s="2187"/>
      <c r="C15" s="2177"/>
      <c r="D15" s="1944"/>
      <c r="E15" s="1987"/>
      <c r="F15" s="1988"/>
      <c r="G15" s="2344"/>
      <c r="H15" s="1994"/>
      <c r="I15" s="1975"/>
      <c r="J15" s="1995"/>
      <c r="K15" s="1977"/>
      <c r="L15" s="1975"/>
      <c r="M15" s="1978"/>
    </row>
    <row r="16" spans="1:13" ht="11.25" customHeight="1" x14ac:dyDescent="0.25">
      <c r="A16" s="1993"/>
      <c r="B16" s="2187"/>
      <c r="C16" s="2177"/>
      <c r="D16" s="1944"/>
      <c r="E16" s="1987"/>
      <c r="F16" s="1988"/>
      <c r="G16" s="2344"/>
      <c r="H16" s="1994"/>
      <c r="I16" s="1975"/>
      <c r="J16" s="1995"/>
      <c r="K16" s="1977"/>
      <c r="L16" s="1975"/>
      <c r="M16" s="1978"/>
    </row>
    <row r="17" spans="1:13" ht="11.25" customHeight="1" x14ac:dyDescent="0.25">
      <c r="A17" s="1993"/>
      <c r="B17" s="2187"/>
      <c r="C17" s="2177"/>
      <c r="D17" s="1944"/>
      <c r="E17" s="1987"/>
      <c r="F17" s="1988"/>
      <c r="G17" s="2344"/>
      <c r="H17" s="1994"/>
      <c r="I17" s="1975"/>
      <c r="J17" s="1995"/>
      <c r="K17" s="1977"/>
      <c r="L17" s="1975"/>
      <c r="M17" s="1978"/>
    </row>
    <row r="18" spans="1:13" ht="11.25" customHeight="1" x14ac:dyDescent="0.25">
      <c r="A18" s="1993"/>
      <c r="B18" s="2187"/>
      <c r="C18" s="2177"/>
      <c r="D18" s="1944"/>
      <c r="E18" s="1987"/>
      <c r="F18" s="1988"/>
      <c r="G18" s="2344"/>
      <c r="H18" s="1994"/>
      <c r="I18" s="1975"/>
      <c r="J18" s="1995"/>
      <c r="K18" s="1977"/>
      <c r="L18" s="1975"/>
      <c r="M18" s="1978"/>
    </row>
    <row r="19" spans="1:13" ht="11.25" customHeight="1" x14ac:dyDescent="0.25">
      <c r="A19" s="1914"/>
      <c r="B19" s="2188"/>
      <c r="C19" s="2178"/>
      <c r="D19" s="1942"/>
      <c r="E19" s="1987"/>
      <c r="F19" s="1988"/>
      <c r="G19" s="2344"/>
      <c r="H19" s="1867"/>
      <c r="I19" s="1606"/>
      <c r="J19" s="1607"/>
      <c r="K19" s="1629"/>
      <c r="L19" s="1606"/>
      <c r="M19" s="1628"/>
    </row>
    <row r="20" spans="1:13" ht="11.25" customHeight="1" x14ac:dyDescent="0.25">
      <c r="A20" s="1914"/>
      <c r="B20" s="2188"/>
      <c r="C20" s="2178"/>
      <c r="D20" s="1942"/>
      <c r="E20" s="1987"/>
      <c r="F20" s="1988"/>
      <c r="G20" s="2527"/>
      <c r="H20" s="1867"/>
      <c r="I20" s="1606"/>
      <c r="J20" s="1607"/>
      <c r="K20" s="1629"/>
      <c r="L20" s="1606"/>
      <c r="M20" s="1628"/>
    </row>
    <row r="21" spans="1:13" ht="11.25" customHeight="1" x14ac:dyDescent="0.25">
      <c r="A21" s="1993"/>
      <c r="B21" s="2187"/>
      <c r="C21" s="2178"/>
      <c r="D21" s="1942"/>
      <c r="E21" s="1987"/>
      <c r="F21" s="1988"/>
      <c r="G21" s="2344"/>
      <c r="H21" s="1867"/>
      <c r="I21" s="1606"/>
      <c r="J21" s="1607"/>
      <c r="K21" s="1629"/>
      <c r="L21" s="1606"/>
      <c r="M21" s="1628"/>
    </row>
    <row r="22" spans="1:13" ht="11.25" customHeight="1" x14ac:dyDescent="0.25">
      <c r="A22" s="1914"/>
      <c r="B22" s="2188"/>
      <c r="C22" s="2178"/>
      <c r="D22" s="1942"/>
      <c r="E22" s="1987"/>
      <c r="F22" s="1988"/>
      <c r="G22" s="2344"/>
      <c r="H22" s="1867"/>
      <c r="I22" s="1606"/>
      <c r="J22" s="1996"/>
      <c r="K22" s="1629"/>
      <c r="L22" s="1606"/>
      <c r="M22" s="1628"/>
    </row>
    <row r="23" spans="1:13" ht="11.25" customHeight="1" x14ac:dyDescent="0.25">
      <c r="A23" s="1914"/>
      <c r="B23" s="2188"/>
      <c r="C23" s="2178"/>
      <c r="D23" s="1942"/>
      <c r="E23" s="1987"/>
      <c r="F23" s="1988"/>
      <c r="G23" s="2344"/>
      <c r="H23" s="1867"/>
      <c r="I23" s="1606"/>
      <c r="J23" s="1607"/>
      <c r="K23" s="1629"/>
      <c r="L23" s="1606"/>
      <c r="M23" s="1628"/>
    </row>
    <row r="24" spans="1:13" ht="11.25" customHeight="1" x14ac:dyDescent="0.25">
      <c r="A24" s="1997"/>
      <c r="B24" s="2189"/>
      <c r="C24" s="2179"/>
      <c r="D24" s="1998"/>
      <c r="E24" s="2173"/>
      <c r="F24" s="2339"/>
      <c r="G24" s="2347"/>
      <c r="H24" s="1999"/>
      <c r="I24" s="1651"/>
      <c r="J24" s="2000"/>
      <c r="K24" s="1653"/>
      <c r="L24" s="1651"/>
      <c r="M24" s="1652"/>
    </row>
    <row r="25" spans="1:13" ht="11.25" customHeight="1" x14ac:dyDescent="0.25">
      <c r="A25" s="265" t="s">
        <v>16</v>
      </c>
      <c r="B25" s="2190"/>
      <c r="C25" s="2180"/>
      <c r="D25" s="834"/>
      <c r="E25" s="955"/>
      <c r="F25" s="2307"/>
      <c r="G25" s="2348"/>
      <c r="H25" s="620"/>
      <c r="I25" s="207"/>
      <c r="J25" s="557"/>
      <c r="K25" s="251"/>
      <c r="L25" s="207"/>
      <c r="M25" s="264"/>
    </row>
    <row r="26" spans="1:13" ht="11.25" customHeight="1" x14ac:dyDescent="0.25">
      <c r="A26" s="370" t="s">
        <v>1482</v>
      </c>
      <c r="B26" s="2186"/>
      <c r="C26" s="2180"/>
      <c r="D26" s="834"/>
      <c r="E26" s="955"/>
      <c r="F26" s="2307"/>
      <c r="G26" s="2348"/>
      <c r="H26" s="620"/>
      <c r="I26" s="207"/>
      <c r="J26" s="557"/>
      <c r="K26" s="251"/>
      <c r="L26" s="207"/>
      <c r="M26" s="264"/>
    </row>
    <row r="27" spans="1:13" ht="11.25" customHeight="1" x14ac:dyDescent="0.25">
      <c r="A27" s="966"/>
      <c r="B27" s="2191"/>
      <c r="C27" s="2180"/>
      <c r="D27" s="834"/>
      <c r="E27" s="955"/>
      <c r="F27" s="2307"/>
      <c r="G27" s="2348"/>
      <c r="H27" s="620"/>
      <c r="I27" s="207"/>
      <c r="J27" s="557"/>
      <c r="K27" s="251"/>
      <c r="L27" s="207"/>
      <c r="M27" s="264"/>
    </row>
    <row r="28" spans="1:13" ht="11.25" customHeight="1" x14ac:dyDescent="0.25">
      <c r="A28" s="2001" t="s">
        <v>1483</v>
      </c>
      <c r="B28" s="2192"/>
      <c r="C28" s="2178"/>
      <c r="D28" s="1942"/>
      <c r="E28" s="1987"/>
      <c r="F28" s="1988"/>
      <c r="G28" s="2344"/>
      <c r="H28" s="1867"/>
      <c r="I28" s="1606"/>
      <c r="J28" s="1607"/>
      <c r="K28" s="1629"/>
      <c r="L28" s="1606"/>
      <c r="M28" s="1628"/>
    </row>
    <row r="29" spans="1:13" ht="11.25" customHeight="1" x14ac:dyDescent="0.25">
      <c r="A29" s="1940" t="s">
        <v>1349</v>
      </c>
      <c r="B29" s="2193"/>
      <c r="C29" s="2178"/>
      <c r="D29" s="1942"/>
      <c r="E29" s="1987"/>
      <c r="F29" s="1988"/>
      <c r="G29" s="2344"/>
      <c r="H29" s="1867"/>
      <c r="I29" s="1606"/>
      <c r="J29" s="1607"/>
      <c r="K29" s="1629"/>
      <c r="L29" s="1606"/>
      <c r="M29" s="1628"/>
    </row>
    <row r="30" spans="1:13" ht="11.25" customHeight="1" x14ac:dyDescent="0.25">
      <c r="A30" s="1941"/>
      <c r="B30" s="2194"/>
      <c r="C30" s="2178"/>
      <c r="D30" s="1942"/>
      <c r="E30" s="1987"/>
      <c r="F30" s="1988"/>
      <c r="G30" s="2344"/>
      <c r="H30" s="1867"/>
      <c r="I30" s="1606"/>
      <c r="J30" s="1607"/>
      <c r="K30" s="1629"/>
      <c r="L30" s="1606"/>
      <c r="M30" s="1628"/>
    </row>
    <row r="31" spans="1:13" ht="11.25" customHeight="1" x14ac:dyDescent="0.25">
      <c r="A31" s="1914"/>
      <c r="B31" s="2188"/>
      <c r="C31" s="2178"/>
      <c r="D31" s="1942"/>
      <c r="E31" s="1987"/>
      <c r="F31" s="1988"/>
      <c r="G31" s="2344"/>
      <c r="H31" s="1867"/>
      <c r="I31" s="1606"/>
      <c r="J31" s="1607"/>
      <c r="K31" s="1629"/>
      <c r="L31" s="1606"/>
      <c r="M31" s="1628"/>
    </row>
    <row r="32" spans="1:13" ht="11.25" customHeight="1" x14ac:dyDescent="0.25">
      <c r="A32" s="1914"/>
      <c r="B32" s="2188"/>
      <c r="C32" s="2178"/>
      <c r="D32" s="1942"/>
      <c r="E32" s="1987"/>
      <c r="F32" s="1988"/>
      <c r="G32" s="2344"/>
      <c r="H32" s="1867"/>
      <c r="I32" s="1606"/>
      <c r="J32" s="1607"/>
      <c r="K32" s="1629"/>
      <c r="L32" s="1606"/>
      <c r="M32" s="1628"/>
    </row>
    <row r="33" spans="1:13" ht="11.25" customHeight="1" x14ac:dyDescent="0.25">
      <c r="A33" s="2002"/>
      <c r="B33" s="2195"/>
      <c r="C33" s="2181"/>
      <c r="D33" s="2003"/>
      <c r="E33" s="2174"/>
      <c r="F33" s="2340"/>
      <c r="G33" s="2349"/>
      <c r="H33" s="2004"/>
      <c r="I33" s="1693"/>
      <c r="J33" s="2005"/>
      <c r="K33" s="1695"/>
      <c r="L33" s="1693"/>
      <c r="M33" s="1694"/>
    </row>
    <row r="34" spans="1:13" ht="11.25" customHeight="1" x14ac:dyDescent="0.25">
      <c r="A34" s="307" t="str">
        <f>head27a</f>
        <v>References</v>
      </c>
      <c r="B34" s="2196"/>
      <c r="E34" s="246"/>
      <c r="F34" s="246"/>
      <c r="G34" s="246"/>
      <c r="H34" s="246"/>
      <c r="I34" s="246"/>
      <c r="J34" s="246"/>
    </row>
    <row r="35" spans="1:13" ht="11.25" customHeight="1" x14ac:dyDescent="0.25">
      <c r="A35" s="308" t="s">
        <v>1638</v>
      </c>
      <c r="B35" s="2197"/>
    </row>
    <row r="36" spans="1:13" ht="11.25" customHeight="1" x14ac:dyDescent="0.25">
      <c r="A36" s="308" t="s">
        <v>871</v>
      </c>
      <c r="B36" s="2197"/>
    </row>
    <row r="37" spans="1:13" ht="11.25" customHeight="1" x14ac:dyDescent="0.25">
      <c r="A37" s="308" t="s">
        <v>1985</v>
      </c>
      <c r="B37" s="2197"/>
    </row>
    <row r="38" spans="1:13" ht="11.25" customHeight="1" x14ac:dyDescent="0.25">
      <c r="A38" s="149" t="s">
        <v>2060</v>
      </c>
    </row>
    <row r="39" spans="1:13" ht="11.25" customHeight="1" x14ac:dyDescent="0.25"/>
    <row r="40" spans="1:13" ht="11.25" customHeight="1" x14ac:dyDescent="0.25"/>
    <row r="41" spans="1:13" ht="11.25" customHeight="1" x14ac:dyDescent="0.25"/>
    <row r="42" spans="1:13" ht="11.25" customHeight="1" x14ac:dyDescent="0.25"/>
    <row r="43" spans="1:13" ht="11.25" customHeight="1" x14ac:dyDescent="0.25"/>
    <row r="44" spans="1:13" ht="11.25" customHeight="1" x14ac:dyDescent="0.25"/>
    <row r="45" spans="1:13" ht="11.25" customHeight="1" x14ac:dyDescent="0.25"/>
    <row r="46" spans="1:13" ht="11.25" customHeight="1" x14ac:dyDescent="0.25"/>
    <row r="47" spans="1:13" ht="11.25" customHeight="1" x14ac:dyDescent="0.25"/>
    <row r="50" ht="11.25" customHeight="1" x14ac:dyDescent="0.25"/>
    <row r="51" ht="2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customSheetViews>
    <customSheetView guid="{F50C5479-5CC4-4FD7-8319-543D29E829F0}" showGridLines="0" fitToPage="1">
      <pane xSplit="3" ySplit="4" topLeftCell="D5" activePane="bottomRight" state="frozen"/>
      <selection pane="bottomRight" activeCell="F10" sqref="F10"/>
      <pageMargins left="0" right="0" top="0.78740157480314965" bottom="0.59055118110236227" header="0.51181102362204722" footer="0.39370078740157483"/>
      <printOptions horizontalCentered="1"/>
      <pageSetup paperSize="9" scale="77" orientation="landscape" r:id="rId1"/>
      <headerFooter alignWithMargins="0"/>
    </customSheetView>
  </customSheetViews>
  <mergeCells count="9">
    <mergeCell ref="A2:A3"/>
    <mergeCell ref="H2:H3"/>
    <mergeCell ref="I2:J2"/>
    <mergeCell ref="K2:M2"/>
    <mergeCell ref="C2:C4"/>
    <mergeCell ref="D2:D4"/>
    <mergeCell ref="F2:F4"/>
    <mergeCell ref="E2:E4"/>
    <mergeCell ref="G2:G4"/>
  </mergeCells>
  <phoneticPr fontId="2" type="noConversion"/>
  <dataValidations count="2">
    <dataValidation type="list" allowBlank="1" showInputMessage="1" showErrorMessage="1" promptTitle="Select Asset Class" prompt="Select asset class from list" sqref="E8:E24 E28:E33">
      <formula1>Asset_Class</formula1>
    </dataValidation>
    <dataValidation type="list" allowBlank="1" showInputMessage="1" showErrorMessage="1" promptTitle="Select Asset Sub-Class" prompt="Select asset sub class from list" sqref="F28:F33 F8:F24">
      <formula1>Asset_sub_class</formula1>
    </dataValidation>
  </dataValidations>
  <printOptions horizontalCentered="1"/>
  <pageMargins left="0" right="0" top="0.78740157480314965" bottom="0.59055118110236227" header="0.51181102362204722" footer="0.39370078740157483"/>
  <pageSetup paperSize="9" scale="77"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33"/>
    <pageSetUpPr fitToPage="1"/>
  </sheetPr>
  <dimension ref="A1:AK83"/>
  <sheetViews>
    <sheetView zoomScaleNormal="100"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861" t="str">
        <f>"Financial summary for the " &amp;muni&amp; "eThekwini"</f>
        <v>Financial summary for the MP315 Thembisile HanieThekwini</v>
      </c>
      <c r="B1" s="2862"/>
      <c r="C1" s="2862"/>
      <c r="D1" s="2862"/>
      <c r="E1" s="2862"/>
      <c r="F1" s="2862"/>
      <c r="G1" s="2862"/>
      <c r="H1" s="2862"/>
      <c r="I1" s="2862"/>
      <c r="J1" s="2862"/>
      <c r="K1" s="2862"/>
      <c r="L1" s="2862"/>
      <c r="M1" s="2863"/>
      <c r="N1"/>
      <c r="O1"/>
      <c r="P1"/>
      <c r="Q1"/>
      <c r="R1"/>
      <c r="S1"/>
      <c r="T1"/>
      <c r="U1"/>
      <c r="V1"/>
      <c r="W1"/>
      <c r="X1"/>
      <c r="Y1"/>
    </row>
    <row r="2" spans="1:37" ht="13.5" thickBot="1" x14ac:dyDescent="0.25">
      <c r="A2" s="121" t="str">
        <f>muni&amp;SFPerf2</f>
        <v>MP315 Thembisile HaniForecast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864" t="str">
        <f>desc</f>
        <v>Description</v>
      </c>
      <c r="B3" s="2864" t="str">
        <f>head27</f>
        <v>Ref</v>
      </c>
      <c r="C3" s="36"/>
      <c r="D3" s="35" t="str">
        <f>head1b</f>
        <v>2011/12</v>
      </c>
      <c r="E3" s="35" t="str">
        <f>head1A</f>
        <v>2012/13</v>
      </c>
      <c r="F3" s="35" t="str">
        <f>Head1</f>
        <v>2013/14</v>
      </c>
      <c r="G3" s="2867" t="str">
        <f>Head2</f>
        <v>Current Year 2014/15</v>
      </c>
      <c r="H3" s="2868"/>
      <c r="I3" s="2868"/>
      <c r="J3" s="990"/>
      <c r="K3" s="2869" t="str">
        <f>Head3</f>
        <v>2015/16 Medium Term Revenue &amp; Expenditure Framework</v>
      </c>
      <c r="L3" s="2870"/>
      <c r="M3" s="2871"/>
      <c r="N3"/>
      <c r="O3"/>
      <c r="P3"/>
      <c r="Q3"/>
      <c r="R3"/>
      <c r="S3"/>
      <c r="T3"/>
      <c r="U3"/>
      <c r="V3"/>
      <c r="W3"/>
      <c r="X3"/>
      <c r="Y3"/>
    </row>
    <row r="4" spans="1:37" ht="33.75" x14ac:dyDescent="0.2">
      <c r="A4" s="2865"/>
      <c r="B4" s="2865"/>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2015/16</v>
      </c>
      <c r="L4" s="26" t="str">
        <f>Head10</f>
        <v>Budget Year +1 2016/17</v>
      </c>
      <c r="M4" s="28" t="str">
        <f>Head11</f>
        <v>Budget Year +2 2017/18</v>
      </c>
      <c r="N4"/>
      <c r="O4"/>
      <c r="P4"/>
      <c r="Q4"/>
      <c r="R4"/>
      <c r="S4"/>
      <c r="T4"/>
      <c r="U4"/>
      <c r="V4"/>
      <c r="W4"/>
      <c r="X4"/>
      <c r="Y4"/>
    </row>
    <row r="5" spans="1:37" ht="12.75" x14ac:dyDescent="0.2">
      <c r="A5" s="2866"/>
      <c r="B5" s="33">
        <v>1</v>
      </c>
      <c r="C5" s="33"/>
      <c r="D5" s="30" t="s">
        <v>1011</v>
      </c>
      <c r="E5" s="30" t="s">
        <v>1011</v>
      </c>
      <c r="F5" s="30" t="s">
        <v>1011</v>
      </c>
      <c r="G5" s="30" t="s">
        <v>1011</v>
      </c>
      <c r="H5" s="30" t="s">
        <v>1011</v>
      </c>
      <c r="I5" s="31" t="s">
        <v>1011</v>
      </c>
      <c r="J5" s="31"/>
      <c r="K5" s="29" t="s">
        <v>1011</v>
      </c>
      <c r="L5" s="30" t="s">
        <v>1011</v>
      </c>
      <c r="M5" s="32" t="s">
        <v>1011</v>
      </c>
      <c r="N5"/>
      <c r="O5"/>
      <c r="P5"/>
      <c r="Q5"/>
      <c r="R5"/>
      <c r="S5"/>
      <c r="T5"/>
      <c r="U5"/>
      <c r="V5"/>
      <c r="W5"/>
      <c r="X5"/>
      <c r="Y5"/>
    </row>
    <row r="6" spans="1:37" ht="12.75" x14ac:dyDescent="0.2">
      <c r="A6" s="15" t="s">
        <v>1797</v>
      </c>
      <c r="B6" s="13"/>
      <c r="C6" s="13"/>
      <c r="D6" s="1032" t="s">
        <v>1677</v>
      </c>
      <c r="E6" s="72"/>
      <c r="F6" s="72"/>
      <c r="G6" s="72"/>
      <c r="H6" s="72"/>
      <c r="I6" s="73"/>
      <c r="J6" s="1005"/>
      <c r="K6" s="74"/>
      <c r="L6" s="72"/>
      <c r="M6" s="75"/>
      <c r="N6"/>
      <c r="O6"/>
      <c r="P6"/>
      <c r="Q6"/>
      <c r="R6"/>
      <c r="S6"/>
      <c r="T6"/>
      <c r="U6"/>
      <c r="V6"/>
      <c r="W6"/>
      <c r="X6"/>
      <c r="Y6"/>
    </row>
    <row r="7" spans="1:37" ht="12.75" x14ac:dyDescent="0.2">
      <c r="A7" s="15" t="s">
        <v>825</v>
      </c>
      <c r="B7" s="13"/>
      <c r="C7" s="13"/>
      <c r="D7" s="76"/>
      <c r="E7" s="76"/>
      <c r="F7" s="76"/>
      <c r="G7" s="76"/>
      <c r="H7" s="76"/>
      <c r="I7" s="77"/>
      <c r="J7" s="1006"/>
      <c r="K7" s="78"/>
      <c r="L7" s="76"/>
      <c r="M7" s="79"/>
      <c r="N7"/>
      <c r="O7"/>
      <c r="P7"/>
      <c r="Q7"/>
      <c r="R7"/>
      <c r="S7"/>
      <c r="T7"/>
      <c r="U7"/>
      <c r="V7"/>
      <c r="W7"/>
      <c r="X7"/>
      <c r="Y7"/>
    </row>
    <row r="8" spans="1:37" ht="12.75" x14ac:dyDescent="0.2">
      <c r="A8" s="69" t="s">
        <v>615</v>
      </c>
      <c r="B8" s="13"/>
      <c r="C8" s="13"/>
      <c r="D8" s="80" t="e">
        <f>SUM(D9:D10)</f>
        <v>#REF!</v>
      </c>
      <c r="E8" s="80" t="e">
        <f t="shared" ref="E8:M8" si="0">SUM(E9:E10)</f>
        <v>#REF!</v>
      </c>
      <c r="F8" s="80" t="e">
        <f t="shared" si="0"/>
        <v>#REF!</v>
      </c>
      <c r="G8" s="80" t="e">
        <f t="shared" si="0"/>
        <v>#REF!</v>
      </c>
      <c r="H8" s="80" t="e">
        <f t="shared" si="0"/>
        <v>#REF!</v>
      </c>
      <c r="I8" s="81" t="e">
        <f t="shared" si="0"/>
        <v>#REF!</v>
      </c>
      <c r="J8" s="1007"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10023316</v>
      </c>
      <c r="E9" s="107">
        <f>IF(ISERROR('A4-FinPerf RE'!D5+'A4-FinPerf RE'!D6+E71),0,('A4-FinPerf RE'!D5+'A4-FinPerf RE'!D6+E71))</f>
        <v>-3904101</v>
      </c>
      <c r="F9" s="107">
        <f>IF(ISERROR('A4-FinPerf RE'!E5+'A4-FinPerf RE'!E6+F71),0,('A4-FinPerf RE'!E5+'A4-FinPerf RE'!E6+F71))</f>
        <v>28146648</v>
      </c>
      <c r="G9" s="107">
        <f>IF(ISERROR('A4-FinPerf RE'!F5+'A4-FinPerf RE'!F6+G71),0,('A4-FinPerf RE'!F5+'A4-FinPerf RE'!F6+G71))</f>
        <v>-14178445.331999999</v>
      </c>
      <c r="H9" s="107">
        <f>IF(ISERROR('A4-FinPerf RE'!G5+'A4-FinPerf RE'!G6+H71),0,('A4-FinPerf RE'!G5+'A4-FinPerf RE'!G6+H71))</f>
        <v>22086220.908</v>
      </c>
      <c r="I9" s="108">
        <f>IF(ISERROR('A4-FinPerf RE'!H5+'A4-FinPerf RE'!H6+I71),0,('A4-FinPerf RE'!H5+'A4-FinPerf RE'!H6+I71))</f>
        <v>22086220.908</v>
      </c>
      <c r="J9" s="1008">
        <f>IF(ISERROR('A4-FinPerf RE'!I5+'A4-FinPerf RE'!I6+J71),0,('A4-FinPerf RE'!I5+'A4-FinPerf RE'!I6+J71))</f>
        <v>34516879</v>
      </c>
      <c r="K9" s="109">
        <f>IF(ISERROR('A4-FinPerf RE'!J5+'A4-FinPerf RE'!J6+K71),0,('A4-FinPerf RE'!J5+'A4-FinPerf RE'!J6+K71))</f>
        <v>136263547.61000001</v>
      </c>
      <c r="L9" s="107">
        <f>IF(ISERROR('A4-FinPerf RE'!K5+'A4-FinPerf RE'!K6+L71),0,('A4-FinPerf RE'!K5+'A4-FinPerf RE'!K6+L71))</f>
        <v>60798460.386989996</v>
      </c>
      <c r="M9" s="119">
        <f>IF(ISERROR('A4-FinPerf RE'!L5+'A4-FinPerf RE'!L6+M71),0,('A4-FinPerf RE'!L5+'A4-FinPerf RE'!L6+M71))</f>
        <v>64203174.168661438</v>
      </c>
    </row>
    <row r="10" spans="1:37" x14ac:dyDescent="0.2">
      <c r="A10" s="97" t="s">
        <v>1332</v>
      </c>
      <c r="B10" s="13"/>
      <c r="C10" s="13"/>
      <c r="D10" s="113" t="e">
        <f>'SA1'!C33+'SA1'!#REF!</f>
        <v>#REF!</v>
      </c>
      <c r="E10" s="113" t="e">
        <f>'SA1'!D33+'SA1'!#REF!</f>
        <v>#REF!</v>
      </c>
      <c r="F10" s="113" t="e">
        <f>'SA1'!E33+'SA1'!#REF!</f>
        <v>#REF!</v>
      </c>
      <c r="G10" s="113" t="e">
        <f>'SA1'!F33+'SA1'!#REF!</f>
        <v>#REF!</v>
      </c>
      <c r="H10" s="113" t="e">
        <f>'SA1'!G33+'SA1'!#REF!</f>
        <v>#REF!</v>
      </c>
      <c r="I10" s="114" t="e">
        <f>'SA1'!H33+'SA1'!#REF!</f>
        <v>#REF!</v>
      </c>
      <c r="J10" s="1009" t="e">
        <f>'SA1'!I33+'SA1'!#REF!</f>
        <v>#REF!</v>
      </c>
      <c r="K10" s="115" t="e">
        <f>'SA1'!J33+'SA1'!#REF!</f>
        <v>#REF!</v>
      </c>
      <c r="L10" s="113" t="e">
        <f>'SA1'!K33+'SA1'!#REF!</f>
        <v>#REF!</v>
      </c>
      <c r="M10" s="120" t="e">
        <f>'SA1'!L33+'SA1'!#REF!</f>
        <v>#REF!</v>
      </c>
    </row>
    <row r="11" spans="1:37" x14ac:dyDescent="0.2">
      <c r="A11" s="69" t="s">
        <v>616</v>
      </c>
      <c r="B11" s="13"/>
      <c r="C11" s="13"/>
      <c r="D11" s="80" t="e">
        <f>SUM(D12:D14)</f>
        <v>#REF!</v>
      </c>
      <c r="E11" s="80" t="e">
        <f t="shared" ref="E11:M11" si="1">SUM(E12:E14)</f>
        <v>#REF!</v>
      </c>
      <c r="F11" s="80" t="e">
        <f t="shared" si="1"/>
        <v>#REF!</v>
      </c>
      <c r="G11" s="80" t="e">
        <f t="shared" si="1"/>
        <v>#REF!</v>
      </c>
      <c r="H11" s="80" t="e">
        <f t="shared" si="1"/>
        <v>#REF!</v>
      </c>
      <c r="I11" s="81" t="e">
        <f t="shared" si="1"/>
        <v>#REF!</v>
      </c>
      <c r="J11" s="1007" t="e">
        <f>SUM(J12:J14)</f>
        <v>#REF!</v>
      </c>
      <c r="K11" s="82" t="e">
        <f t="shared" si="1"/>
        <v>#REF!</v>
      </c>
      <c r="L11" s="80" t="e">
        <f t="shared" si="1"/>
        <v>#REF!</v>
      </c>
      <c r="M11" s="83" t="e">
        <f t="shared" si="1"/>
        <v>#REF!</v>
      </c>
    </row>
    <row r="12" spans="1:37" x14ac:dyDescent="0.2">
      <c r="A12" s="70" t="s">
        <v>606</v>
      </c>
      <c r="B12" s="10"/>
      <c r="C12" s="6"/>
      <c r="D12" s="84">
        <f>'A4-FinPerf RE'!C17+'A4-FinPerf RE'!C18</f>
        <v>6368680</v>
      </c>
      <c r="E12" s="84">
        <f>'A4-FinPerf RE'!D17+'A4-FinPerf RE'!D18</f>
        <v>2231221</v>
      </c>
      <c r="F12" s="84">
        <f>'A4-FinPerf RE'!E17+'A4-FinPerf RE'!E18</f>
        <v>7026624.4700000007</v>
      </c>
      <c r="G12" s="84">
        <f>'A4-FinPerf RE'!F17+'A4-FinPerf RE'!F18</f>
        <v>6002712.9400000004</v>
      </c>
      <c r="H12" s="84">
        <f>'A4-FinPerf RE'!G17+'A4-FinPerf RE'!G18</f>
        <v>6095026</v>
      </c>
      <c r="I12" s="85">
        <f>'A4-FinPerf RE'!H17+'A4-FinPerf RE'!H18</f>
        <v>6095026</v>
      </c>
      <c r="J12" s="1010">
        <f>'A4-FinPerf RE'!I17+'A4-FinPerf RE'!I18</f>
        <v>4180200</v>
      </c>
      <c r="K12" s="86">
        <f>'A4-FinPerf RE'!J17+'A4-FinPerf RE'!J18</f>
        <v>6448537.5099999998</v>
      </c>
      <c r="L12" s="84">
        <f>'A4-FinPerf RE'!K17+'A4-FinPerf RE'!K18</f>
        <v>6829001.2230899995</v>
      </c>
      <c r="M12" s="87">
        <f>'A4-FinPerf RE'!L17+'A4-FinPerf RE'!L18</f>
        <v>7211425.2915830398</v>
      </c>
    </row>
    <row r="13" spans="1:37" x14ac:dyDescent="0.2">
      <c r="A13" s="70" t="s">
        <v>1798</v>
      </c>
      <c r="B13" s="10"/>
      <c r="C13" s="6"/>
      <c r="D13" s="76">
        <f>IF(ISERROR(SUM('A4-FinPerf RE'!C7:C11)+D72),0,(SUM('A4-FinPerf RE'!C7:C11)+D72))</f>
        <v>60482235.999999993</v>
      </c>
      <c r="E13" s="76">
        <f>IF(ISERROR(SUM('A4-FinPerf RE'!D7:D11)+E72),0,(SUM('A4-FinPerf RE'!D7:D11)+E72))</f>
        <v>-29291722</v>
      </c>
      <c r="F13" s="76">
        <f>IF(ISERROR(SUM('A4-FinPerf RE'!E7:E11)+F72),0,(SUM('A4-FinPerf RE'!E7:E11)+F72))</f>
        <v>110468708</v>
      </c>
      <c r="G13" s="76">
        <f>IF(ISERROR(SUM('A4-FinPerf RE'!F7:F11)+G72),0,(SUM('A4-FinPerf RE'!F7:F11)+G72))</f>
        <v>-94783570.689999998</v>
      </c>
      <c r="H13" s="76">
        <f>IF(ISERROR(SUM('A4-FinPerf RE'!G7:G11)+H72),0,(SUM('A4-FinPerf RE'!G7:G11)+H72))</f>
        <v>53773715.510000005</v>
      </c>
      <c r="I13" s="77">
        <f>IF(ISERROR(SUM('A4-FinPerf RE'!H7:H11)+I72),0,(SUM('A4-FinPerf RE'!H7:H11)+I72))</f>
        <v>53773715.510000005</v>
      </c>
      <c r="J13" s="1006">
        <f>IF(ISERROR(SUM('A4-FinPerf RE'!I7:I11)+J72),0,(SUM('A4-FinPerf RE'!I7:I11)+J72))</f>
        <v>164996184</v>
      </c>
      <c r="K13" s="78">
        <f>IF(ISERROR(SUM('A4-FinPerf RE'!J7:J11)+K72),0,(SUM('A4-FinPerf RE'!J7:J11)+K72))</f>
        <v>140682092.49000001</v>
      </c>
      <c r="L13" s="76">
        <f>IF(ISERROR(SUM('A4-FinPerf RE'!K7:K11)+L72),0,(SUM('A4-FinPerf RE'!K7:K11)+L72))</f>
        <v>62762101.478910007</v>
      </c>
      <c r="M13" s="79">
        <f>IF(ISERROR(SUM('A4-FinPerf RE'!L7:L11)+M72),0,(SUM('A4-FinPerf RE'!L7:L11)+M72))</f>
        <v>66276779.161728963</v>
      </c>
    </row>
    <row r="14" spans="1:37" x14ac:dyDescent="0.2">
      <c r="A14" s="70" t="s">
        <v>1799</v>
      </c>
      <c r="B14" s="10"/>
      <c r="C14" s="6"/>
      <c r="D14" s="76" t="e">
        <f>SUM(D15)</f>
        <v>#REF!</v>
      </c>
      <c r="E14" s="76" t="e">
        <f t="shared" ref="E14:M14" si="2">SUM(E15)</f>
        <v>#REF!</v>
      </c>
      <c r="F14" s="76" t="e">
        <f t="shared" si="2"/>
        <v>#REF!</v>
      </c>
      <c r="G14" s="76" t="e">
        <f t="shared" si="2"/>
        <v>#REF!</v>
      </c>
      <c r="H14" s="76" t="e">
        <f t="shared" si="2"/>
        <v>#REF!</v>
      </c>
      <c r="I14" s="77" t="e">
        <f t="shared" si="2"/>
        <v>#REF!</v>
      </c>
      <c r="J14" s="1006" t="e">
        <f t="shared" si="2"/>
        <v>#REF!</v>
      </c>
      <c r="K14" s="78" t="e">
        <f t="shared" si="2"/>
        <v>#REF!</v>
      </c>
      <c r="L14" s="76" t="e">
        <f t="shared" si="2"/>
        <v>#REF!</v>
      </c>
      <c r="M14" s="79" t="e">
        <f t="shared" si="2"/>
        <v>#REF!</v>
      </c>
    </row>
    <row r="15" spans="1:37" x14ac:dyDescent="0.2">
      <c r="A15" s="71" t="s">
        <v>292</v>
      </c>
      <c r="B15" s="10"/>
      <c r="C15" s="6"/>
      <c r="D15" s="125" t="e">
        <f>'A7-CFlow'!C6+'A7-CFlow'!C22+'A7-CFlow'!C23-NERF!D8-NERF!D12-NERF!D13-NERF!D22-D26</f>
        <v>#REF!</v>
      </c>
      <c r="E15" s="88" t="e">
        <f>'A7-CFlow'!D6+'A7-CFlow'!D22+'A7-CFlow'!D23-NERF!E8-NERF!E12-NERF!E13-NERF!E22-E26</f>
        <v>#REF!</v>
      </c>
      <c r="F15" s="88" t="e">
        <f>'A7-CFlow'!E6+'A7-CFlow'!E22+'A7-CFlow'!E23-NERF!F8-NERF!F12-NERF!F13-NERF!F22-F26</f>
        <v>#REF!</v>
      </c>
      <c r="G15" s="88" t="e">
        <f>'A7-CFlow'!F6+'A7-CFlow'!F22+'A7-CFlow'!F23-NERF!G8-NERF!G12-NERF!G13-NERF!G22-G26-G82</f>
        <v>#REF!</v>
      </c>
      <c r="H15" s="88" t="e">
        <f>'A7-CFlow'!G6+'A7-CFlow'!G22+'A7-CFlow'!G23-NERF!H8-NERF!H12-NERF!H13-NERF!H22-H26-H82</f>
        <v>#REF!</v>
      </c>
      <c r="I15" s="89" t="e">
        <f>'A7-CFlow'!H6+'A7-CFlow'!H22+'A7-CFlow'!H23-NERF!I8-NERF!I12-NERF!I13-NERF!I22-I26-I82</f>
        <v>#REF!</v>
      </c>
      <c r="J15" s="1011" t="e">
        <f>'A7-CFlow'!I6+'A7-CFlow'!I22+'A7-CFlow'!I23-NERF!J8-NERF!J12-NERF!J13-NERF!J22-J26-J82</f>
        <v>#REF!</v>
      </c>
      <c r="K15" s="90" t="e">
        <f>'A7-CFlow'!J6+'A7-CFlow'!J22+'A7-CFlow'!J23-NERF!K8-NERF!K12-NERF!K13-NERF!K22-K26-K82</f>
        <v>#REF!</v>
      </c>
      <c r="L15" s="88" t="e">
        <f>'A7-CFlow'!K6+'A7-CFlow'!K22+'A7-CFlow'!K23-NERF!L8-NERF!L12-NERF!L13-NERF!L22-L26-L82</f>
        <v>#REF!</v>
      </c>
      <c r="M15" s="91" t="e">
        <f>'A7-CFlow'!L6+'A7-CFlow'!L22+'A7-CFlow'!L23-NERF!M8-NERF!M12-NERF!M13-NERF!M22-M26-M82</f>
        <v>#REF!</v>
      </c>
    </row>
    <row r="16" spans="1:37" x14ac:dyDescent="0.2">
      <c r="A16" s="69" t="s">
        <v>1583</v>
      </c>
      <c r="B16" s="10"/>
      <c r="C16" s="6"/>
      <c r="D16" s="100"/>
      <c r="E16" s="88"/>
      <c r="F16" s="88"/>
      <c r="G16" s="88"/>
      <c r="H16" s="88"/>
      <c r="I16" s="89"/>
      <c r="J16" s="1011"/>
      <c r="K16" s="90"/>
      <c r="L16" s="88"/>
      <c r="M16" s="91"/>
    </row>
    <row r="17" spans="1:13" x14ac:dyDescent="0.2">
      <c r="A17" s="69" t="s">
        <v>599</v>
      </c>
      <c r="B17" s="13"/>
      <c r="C17" s="13"/>
      <c r="D17" s="80">
        <f>SUM(D18:D21)</f>
        <v>297324000</v>
      </c>
      <c r="E17" s="80">
        <f t="shared" ref="E17:M17" si="3">SUM(E18:E21)</f>
        <v>363599277</v>
      </c>
      <c r="F17" s="80">
        <f t="shared" si="3"/>
        <v>337500744</v>
      </c>
      <c r="G17" s="80">
        <f t="shared" si="3"/>
        <v>391800000</v>
      </c>
      <c r="H17" s="80">
        <f t="shared" si="3"/>
        <v>391040001.63</v>
      </c>
      <c r="I17" s="81">
        <f t="shared" si="3"/>
        <v>391040001.63</v>
      </c>
      <c r="J17" s="1007">
        <f>SUM(J18:J21)</f>
        <v>200304000</v>
      </c>
      <c r="K17" s="82">
        <f t="shared" si="3"/>
        <v>429530000</v>
      </c>
      <c r="L17" s="80">
        <f t="shared" si="3"/>
        <v>454872270</v>
      </c>
      <c r="M17" s="83">
        <f t="shared" si="3"/>
        <v>480345117.12</v>
      </c>
    </row>
    <row r="18" spans="1:13" x14ac:dyDescent="0.2">
      <c r="A18" s="97" t="s">
        <v>1582</v>
      </c>
      <c r="B18" s="10"/>
      <c r="C18" s="6"/>
      <c r="D18" s="107">
        <f>'A7-CFlow'!C9</f>
        <v>297324000</v>
      </c>
      <c r="E18" s="107">
        <f>'A7-CFlow'!D9</f>
        <v>226638456</v>
      </c>
      <c r="F18" s="107">
        <f>'A7-CFlow'!E9</f>
        <v>247290000</v>
      </c>
      <c r="G18" s="107">
        <f>'A7-CFlow'!F9</f>
        <v>280980250</v>
      </c>
      <c r="H18" s="107">
        <f>'A7-CFlow'!G9</f>
        <v>275755001.63</v>
      </c>
      <c r="I18" s="108">
        <f>'A7-CFlow'!H9</f>
        <v>275755001.63</v>
      </c>
      <c r="J18" s="1008">
        <f>'A7-CFlow'!I9</f>
        <v>200304000</v>
      </c>
      <c r="K18" s="109">
        <f>'A7-CFlow'!J9</f>
        <v>309291000</v>
      </c>
      <c r="L18" s="107">
        <f>'A7-CFlow'!K9</f>
        <v>327539169</v>
      </c>
      <c r="M18" s="119">
        <f>'A7-CFlow'!L9</f>
        <v>345881362.46399999</v>
      </c>
    </row>
    <row r="19" spans="1:13" x14ac:dyDescent="0.2">
      <c r="A19" s="97" t="s">
        <v>264</v>
      </c>
      <c r="B19" s="10"/>
      <c r="C19" s="6"/>
      <c r="D19" s="110">
        <f>'A7-CFlow'!C10</f>
        <v>0</v>
      </c>
      <c r="E19" s="110">
        <f>'A7-CFlow'!D10</f>
        <v>136960821</v>
      </c>
      <c r="F19" s="110">
        <f>'A7-CFlow'!E10</f>
        <v>90210744</v>
      </c>
      <c r="G19" s="110">
        <f>'A7-CFlow'!F10</f>
        <v>110819750</v>
      </c>
      <c r="H19" s="110">
        <f>'A7-CFlow'!G10</f>
        <v>115285000</v>
      </c>
      <c r="I19" s="111">
        <f>'A7-CFlow'!H10</f>
        <v>115285000</v>
      </c>
      <c r="J19" s="1012">
        <f>'A7-CFlow'!I10</f>
        <v>0</v>
      </c>
      <c r="K19" s="112">
        <f>'A7-CFlow'!J10</f>
        <v>120239000</v>
      </c>
      <c r="L19" s="110">
        <f>'A7-CFlow'!K10</f>
        <v>127333101</v>
      </c>
      <c r="M19" s="116">
        <f>'A7-CFlow'!L10</f>
        <v>134463754.65600002</v>
      </c>
    </row>
    <row r="20" spans="1:13" x14ac:dyDescent="0.2">
      <c r="A20" s="97" t="s">
        <v>607</v>
      </c>
      <c r="B20" s="10"/>
      <c r="C20" s="6"/>
      <c r="D20" s="110"/>
      <c r="E20" s="110"/>
      <c r="F20" s="110"/>
      <c r="G20" s="110"/>
      <c r="H20" s="110"/>
      <c r="I20" s="111"/>
      <c r="J20" s="1012"/>
      <c r="K20" s="112"/>
      <c r="L20" s="110"/>
      <c r="M20" s="116"/>
    </row>
    <row r="21" spans="1:13" x14ac:dyDescent="0.2">
      <c r="A21" s="97" t="s">
        <v>608</v>
      </c>
      <c r="B21" s="10"/>
      <c r="C21" s="6"/>
      <c r="D21" s="113"/>
      <c r="E21" s="113"/>
      <c r="F21" s="113"/>
      <c r="G21" s="113"/>
      <c r="H21" s="113"/>
      <c r="I21" s="114"/>
      <c r="J21" s="1009"/>
      <c r="K21" s="115"/>
      <c r="L21" s="113"/>
      <c r="M21" s="120"/>
    </row>
    <row r="22" spans="1:13" x14ac:dyDescent="0.2">
      <c r="A22" s="69" t="s">
        <v>609</v>
      </c>
      <c r="B22" s="13"/>
      <c r="C22" s="13"/>
      <c r="D22" s="80">
        <f>'A4-FinPerf RE'!C16</f>
        <v>44724</v>
      </c>
      <c r="E22" s="80">
        <f>'A4-FinPerf RE'!D16</f>
        <v>112893</v>
      </c>
      <c r="F22" s="80">
        <f>'A4-FinPerf RE'!E16</f>
        <v>2939050</v>
      </c>
      <c r="G22" s="80">
        <f>'A4-FinPerf RE'!F16</f>
        <v>476926.69</v>
      </c>
      <c r="H22" s="80">
        <f>'A4-FinPerf RE'!G16</f>
        <v>938901.6</v>
      </c>
      <c r="I22" s="81">
        <f>'A4-FinPerf RE'!H16</f>
        <v>938901.6</v>
      </c>
      <c r="J22" s="1007">
        <f>'A4-FinPerf RE'!I16</f>
        <v>77598</v>
      </c>
      <c r="K22" s="82">
        <f>'A4-FinPerf RE'!J16</f>
        <v>1500000</v>
      </c>
      <c r="L22" s="80">
        <f>'A4-FinPerf RE'!K16</f>
        <v>1588500</v>
      </c>
      <c r="M22" s="83">
        <f>'A4-FinPerf RE'!L16</f>
        <v>1677456</v>
      </c>
    </row>
    <row r="23" spans="1:13" x14ac:dyDescent="0.2">
      <c r="A23" s="69" t="s">
        <v>602</v>
      </c>
      <c r="B23" s="13"/>
      <c r="C23" s="13"/>
      <c r="D23" s="80">
        <f>SUM(D24:D26)</f>
        <v>-18909402.999999993</v>
      </c>
      <c r="E23" s="80">
        <f t="shared" ref="E23:M23" si="4">SUM(E24:E26)</f>
        <v>78270022</v>
      </c>
      <c r="F23" s="80">
        <f t="shared" si="4"/>
        <v>-70397295</v>
      </c>
      <c r="G23" s="80">
        <f t="shared" si="4"/>
        <v>161168617.17000002</v>
      </c>
      <c r="H23" s="80">
        <f t="shared" si="4"/>
        <v>2359779.29</v>
      </c>
      <c r="I23" s="81">
        <f t="shared" si="4"/>
        <v>2359779.29</v>
      </c>
      <c r="J23" s="1007">
        <f>SUM(J24:J26)</f>
        <v>-157012849</v>
      </c>
      <c r="K23" s="82">
        <f t="shared" si="4"/>
        <v>-156947993.84999999</v>
      </c>
      <c r="L23" s="80">
        <f t="shared" si="4"/>
        <v>3516945.5128499996</v>
      </c>
      <c r="M23" s="83">
        <f t="shared" si="4"/>
        <v>3713894.4615695993</v>
      </c>
    </row>
    <row r="24" spans="1:13" x14ac:dyDescent="0.2">
      <c r="A24" s="97" t="s">
        <v>344</v>
      </c>
      <c r="B24" s="10"/>
      <c r="C24" s="6"/>
      <c r="D24" s="107">
        <f>'A7-CFlow'!C11</f>
        <v>5319400</v>
      </c>
      <c r="E24" s="107">
        <f>'A7-CFlow'!D11</f>
        <v>4455732</v>
      </c>
      <c r="F24" s="107">
        <f>'A7-CFlow'!E11</f>
        <v>2923677</v>
      </c>
      <c r="G24" s="107">
        <f>'A7-CFlow'!F11</f>
        <v>764298.96</v>
      </c>
      <c r="H24" s="107">
        <f>'A7-CFlow'!G11</f>
        <v>1825373.99</v>
      </c>
      <c r="I24" s="108">
        <f>'A7-CFlow'!H11</f>
        <v>1825373.99</v>
      </c>
      <c r="J24" s="1008">
        <f>'A7-CFlow'!I11</f>
        <v>2894088</v>
      </c>
      <c r="K24" s="109">
        <f>'A7-CFlow'!J11</f>
        <v>2755605.65</v>
      </c>
      <c r="L24" s="107">
        <f>'A7-CFlow'!K11</f>
        <v>2918186.3833499998</v>
      </c>
      <c r="M24" s="119">
        <f>'A7-CFlow'!L11</f>
        <v>3081604.8208175995</v>
      </c>
    </row>
    <row r="25" spans="1:13" x14ac:dyDescent="0.2">
      <c r="A25" s="97" t="s">
        <v>603</v>
      </c>
      <c r="B25" s="10"/>
      <c r="C25" s="6"/>
      <c r="D25" s="110">
        <f>'A7-CFlow'!C12</f>
        <v>0</v>
      </c>
      <c r="E25" s="110">
        <f>'A7-CFlow'!D12</f>
        <v>0</v>
      </c>
      <c r="F25" s="110">
        <f>'A7-CFlow'!E12</f>
        <v>0</v>
      </c>
      <c r="G25" s="110">
        <f>'A7-CFlow'!F12</f>
        <v>0</v>
      </c>
      <c r="H25" s="110">
        <f>'A7-CFlow'!G12</f>
        <v>0</v>
      </c>
      <c r="I25" s="111">
        <f>'A7-CFlow'!H12</f>
        <v>0</v>
      </c>
      <c r="J25" s="1012">
        <f>'A7-CFlow'!I12</f>
        <v>0</v>
      </c>
      <c r="K25" s="112">
        <f>'A7-CFlow'!J12</f>
        <v>0</v>
      </c>
      <c r="L25" s="110">
        <f>'A7-CFlow'!K12</f>
        <v>0</v>
      </c>
      <c r="M25" s="116">
        <f>'A7-CFlow'!L12</f>
        <v>0</v>
      </c>
    </row>
    <row r="26" spans="1:13" x14ac:dyDescent="0.2">
      <c r="A26" s="97" t="s">
        <v>604</v>
      </c>
      <c r="B26" s="10"/>
      <c r="C26" s="6"/>
      <c r="D26" s="113">
        <f>'A4-FinPerf RE'!C12+NERF!D74</f>
        <v>-24228802.999999993</v>
      </c>
      <c r="E26" s="113">
        <f>'A4-FinPerf RE'!D12+NERF!E74</f>
        <v>73814290</v>
      </c>
      <c r="F26" s="113">
        <f>'A4-FinPerf RE'!E12+NERF!F74</f>
        <v>-73320972</v>
      </c>
      <c r="G26" s="113">
        <f>'A4-FinPerf RE'!F12+NERF!G74</f>
        <v>160404318.21000001</v>
      </c>
      <c r="H26" s="113">
        <f>'A4-FinPerf RE'!G12+NERF!H74</f>
        <v>534405.30000000005</v>
      </c>
      <c r="I26" s="114">
        <f>'A4-FinPerf RE'!H12+NERF!I74</f>
        <v>534405.30000000005</v>
      </c>
      <c r="J26" s="1009">
        <f>'A4-FinPerf RE'!I12+NERF!J74</f>
        <v>-159906937</v>
      </c>
      <c r="K26" s="115">
        <f>'A4-FinPerf RE'!J12+NERF!K74</f>
        <v>-159703599.5</v>
      </c>
      <c r="L26" s="113">
        <f>'A4-FinPerf RE'!K12+NERF!L74</f>
        <v>598759.12949999992</v>
      </c>
      <c r="M26" s="120">
        <f>'A4-FinPerf RE'!L12+NERF!M74</f>
        <v>632289.64075199992</v>
      </c>
    </row>
    <row r="27" spans="1:13" x14ac:dyDescent="0.2">
      <c r="A27" s="69" t="s">
        <v>279</v>
      </c>
      <c r="B27" s="13"/>
      <c r="C27" s="13"/>
      <c r="D27" s="80">
        <f>SUM(D28:D29)</f>
        <v>438696</v>
      </c>
      <c r="E27" s="80">
        <f t="shared" ref="E27:M27" si="5">SUM(E28:E29)</f>
        <v>0</v>
      </c>
      <c r="F27" s="80">
        <f t="shared" si="5"/>
        <v>1502598</v>
      </c>
      <c r="G27" s="80">
        <f t="shared" si="5"/>
        <v>0</v>
      </c>
      <c r="H27" s="80">
        <f t="shared" si="5"/>
        <v>0</v>
      </c>
      <c r="I27" s="81">
        <f t="shared" si="5"/>
        <v>0</v>
      </c>
      <c r="J27" s="1007">
        <f>SUM(J28:J29)</f>
        <v>0</v>
      </c>
      <c r="K27" s="82">
        <f t="shared" si="5"/>
        <v>0</v>
      </c>
      <c r="L27" s="80">
        <f t="shared" si="5"/>
        <v>0</v>
      </c>
      <c r="M27" s="83">
        <f t="shared" si="5"/>
        <v>0</v>
      </c>
    </row>
    <row r="28" spans="1:13" x14ac:dyDescent="0.2">
      <c r="A28" s="97" t="s">
        <v>610</v>
      </c>
      <c r="B28" s="10"/>
      <c r="C28" s="6"/>
      <c r="D28" s="107">
        <v>0</v>
      </c>
      <c r="E28" s="107">
        <v>0</v>
      </c>
      <c r="F28" s="107">
        <v>0</v>
      </c>
      <c r="G28" s="107">
        <v>0</v>
      </c>
      <c r="H28" s="107">
        <v>0</v>
      </c>
      <c r="I28" s="108">
        <v>0</v>
      </c>
      <c r="J28" s="1008">
        <v>0</v>
      </c>
      <c r="K28" s="109">
        <v>0</v>
      </c>
      <c r="L28" s="107">
        <v>0</v>
      </c>
      <c r="M28" s="119">
        <v>0</v>
      </c>
    </row>
    <row r="29" spans="1:13" x14ac:dyDescent="0.2">
      <c r="A29" s="97" t="s">
        <v>613</v>
      </c>
      <c r="B29" s="10"/>
      <c r="C29" s="6"/>
      <c r="D29" s="113">
        <f>'A7-CFlow'!C21</f>
        <v>438696</v>
      </c>
      <c r="E29" s="113">
        <f>'A7-CFlow'!D21</f>
        <v>0</v>
      </c>
      <c r="F29" s="113">
        <f>'A7-CFlow'!E21</f>
        <v>1502598</v>
      </c>
      <c r="G29" s="113">
        <f>'A7-CFlow'!F21</f>
        <v>0</v>
      </c>
      <c r="H29" s="113">
        <f>'A7-CFlow'!G21</f>
        <v>0</v>
      </c>
      <c r="I29" s="114">
        <f>'A7-CFlow'!H21</f>
        <v>0</v>
      </c>
      <c r="J29" s="1009">
        <f>'A7-CFlow'!I21</f>
        <v>0</v>
      </c>
      <c r="K29" s="115">
        <f>'A7-CFlow'!J21</f>
        <v>0</v>
      </c>
      <c r="L29" s="113">
        <f>'A7-CFlow'!K21</f>
        <v>0</v>
      </c>
      <c r="M29" s="120">
        <f>'A7-CFlow'!L21</f>
        <v>0</v>
      </c>
    </row>
    <row r="30" spans="1:13" x14ac:dyDescent="0.2">
      <c r="A30" s="69" t="s">
        <v>614</v>
      </c>
      <c r="B30" s="13"/>
      <c r="C30" s="13"/>
      <c r="D30" s="80"/>
      <c r="E30" s="80"/>
      <c r="F30" s="80"/>
      <c r="G30" s="80"/>
      <c r="H30" s="80"/>
      <c r="I30" s="81"/>
      <c r="J30" s="1007"/>
      <c r="K30" s="82"/>
      <c r="L30" s="80"/>
      <c r="M30" s="83"/>
    </row>
    <row r="31" spans="1:13" x14ac:dyDescent="0.2">
      <c r="A31" s="8" t="s">
        <v>617</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1013" t="e">
        <f t="shared" si="6"/>
        <v>#REF!</v>
      </c>
      <c r="K31" s="94" t="e">
        <f t="shared" si="6"/>
        <v>#REF!</v>
      </c>
      <c r="L31" s="92" t="e">
        <f t="shared" si="6"/>
        <v>#REF!</v>
      </c>
      <c r="M31" s="95" t="e">
        <f t="shared" si="6"/>
        <v>#REF!</v>
      </c>
    </row>
    <row r="32" spans="1:13" x14ac:dyDescent="0.2">
      <c r="A32" s="15" t="s">
        <v>826</v>
      </c>
      <c r="B32" s="13"/>
      <c r="C32" s="13"/>
      <c r="D32" s="80"/>
      <c r="E32" s="80"/>
      <c r="F32" s="80"/>
      <c r="G32" s="80"/>
      <c r="H32" s="80"/>
      <c r="I32" s="81"/>
      <c r="J32" s="1007"/>
      <c r="K32" s="82"/>
      <c r="L32" s="80"/>
      <c r="M32" s="83"/>
    </row>
    <row r="33" spans="1:13" x14ac:dyDescent="0.2">
      <c r="A33" s="69" t="s">
        <v>1584</v>
      </c>
      <c r="B33" s="13"/>
      <c r="C33" s="13"/>
      <c r="D33" s="80"/>
      <c r="E33" s="80"/>
      <c r="F33" s="80"/>
      <c r="G33" s="80"/>
      <c r="H33" s="80"/>
      <c r="I33" s="81"/>
      <c r="J33" s="1007"/>
      <c r="K33" s="82"/>
      <c r="L33" s="80"/>
      <c r="M33" s="83"/>
    </row>
    <row r="34" spans="1:13" x14ac:dyDescent="0.2">
      <c r="A34" s="99" t="s">
        <v>600</v>
      </c>
      <c r="B34" s="13"/>
      <c r="C34" s="13"/>
      <c r="D34" s="101">
        <f>SUM(D35:D36)</f>
        <v>65886885</v>
      </c>
      <c r="E34" s="101">
        <f t="shared" ref="E34:M34" si="7">SUM(E35:E36)</f>
        <v>63943926</v>
      </c>
      <c r="F34" s="101">
        <f t="shared" si="7"/>
        <v>96797188</v>
      </c>
      <c r="G34" s="101">
        <f t="shared" si="7"/>
        <v>101035795</v>
      </c>
      <c r="H34" s="101">
        <f t="shared" si="7"/>
        <v>99603079.75</v>
      </c>
      <c r="I34" s="102">
        <f t="shared" si="7"/>
        <v>99603079.75</v>
      </c>
      <c r="J34" s="1014">
        <f>SUM(J35:J36)</f>
        <v>56915963.659999996</v>
      </c>
      <c r="K34" s="103">
        <f t="shared" si="7"/>
        <v>107340510.12</v>
      </c>
      <c r="L34" s="101">
        <f t="shared" si="7"/>
        <v>113673600.21707998</v>
      </c>
      <c r="M34" s="117">
        <f t="shared" si="7"/>
        <v>120039321.82923649</v>
      </c>
    </row>
    <row r="35" spans="1:13" x14ac:dyDescent="0.2">
      <c r="A35" s="71" t="s">
        <v>268</v>
      </c>
      <c r="B35" s="13"/>
      <c r="C35" s="13"/>
      <c r="D35" s="84">
        <f>'SA1'!C63-'SA1'!C50</f>
        <v>59543121</v>
      </c>
      <c r="E35" s="84">
        <f>'SA1'!D63-'SA1'!D50</f>
        <v>54166586</v>
      </c>
      <c r="F35" s="84">
        <f>'SA1'!E63-'SA1'!E50</f>
        <v>83906733</v>
      </c>
      <c r="G35" s="84">
        <f>'SA1'!F63-'SA1'!F50</f>
        <v>88974956</v>
      </c>
      <c r="H35" s="84">
        <f>'SA1'!G63-'SA1'!G50</f>
        <v>86000858.129999995</v>
      </c>
      <c r="I35" s="85">
        <f>'SA1'!H63-'SA1'!H50</f>
        <v>86000858.129999995</v>
      </c>
      <c r="J35" s="1010">
        <f>'SA1'!I63-'SA1'!I50</f>
        <v>49343852.659999996</v>
      </c>
      <c r="K35" s="86">
        <f>'SA1'!J63-'SA1'!J50</f>
        <v>92366215.120000005</v>
      </c>
      <c r="L35" s="84">
        <f>'SA1'!K63-'SA1'!K50</f>
        <v>97815821.812079981</v>
      </c>
      <c r="M35" s="87">
        <f>'SA1'!L63-'SA1'!L50</f>
        <v>103293507.83355649</v>
      </c>
    </row>
    <row r="36" spans="1:13" x14ac:dyDescent="0.2">
      <c r="A36" s="71" t="s">
        <v>269</v>
      </c>
      <c r="B36" s="13"/>
      <c r="C36" s="13"/>
      <c r="D36" s="88">
        <f>'SA1'!C50</f>
        <v>6343764</v>
      </c>
      <c r="E36" s="88">
        <f>'SA1'!D50</f>
        <v>9777340</v>
      </c>
      <c r="F36" s="88">
        <f>'SA1'!E50</f>
        <v>12890455</v>
      </c>
      <c r="G36" s="88">
        <f>'SA1'!F50</f>
        <v>12060839</v>
      </c>
      <c r="H36" s="88">
        <f>'SA1'!G50</f>
        <v>13602221.620000001</v>
      </c>
      <c r="I36" s="89">
        <f>'SA1'!H50</f>
        <v>13602221.620000001</v>
      </c>
      <c r="J36" s="1011">
        <f>'SA1'!I50</f>
        <v>7572111</v>
      </c>
      <c r="K36" s="90">
        <f>'SA1'!J50</f>
        <v>14974295</v>
      </c>
      <c r="L36" s="88">
        <f>'SA1'!K50</f>
        <v>15857778.404999999</v>
      </c>
      <c r="M36" s="91">
        <f>'SA1'!L50</f>
        <v>16745813.995680001</v>
      </c>
    </row>
    <row r="37" spans="1:13" x14ac:dyDescent="0.2">
      <c r="A37" s="99" t="s">
        <v>601</v>
      </c>
      <c r="B37" s="13"/>
      <c r="C37" s="13"/>
      <c r="D37" s="80" t="e">
        <f>SUM(D38:D42)</f>
        <v>#REF!</v>
      </c>
      <c r="E37" s="80" t="e">
        <f t="shared" ref="E37:M37" si="8">SUM(E38:E42)</f>
        <v>#REF!</v>
      </c>
      <c r="F37" s="80" t="e">
        <f t="shared" si="8"/>
        <v>#REF!</v>
      </c>
      <c r="G37" s="80" t="e">
        <f t="shared" si="8"/>
        <v>#REF!</v>
      </c>
      <c r="H37" s="80" t="e">
        <f t="shared" si="8"/>
        <v>#REF!</v>
      </c>
      <c r="I37" s="81" t="e">
        <f t="shared" si="8"/>
        <v>#REF!</v>
      </c>
      <c r="J37" s="1007" t="e">
        <f>SUM(J38:J42)</f>
        <v>#REF!</v>
      </c>
      <c r="K37" s="82" t="e">
        <f t="shared" si="8"/>
        <v>#REF!</v>
      </c>
      <c r="L37" s="80" t="e">
        <f t="shared" si="8"/>
        <v>#REF!</v>
      </c>
      <c r="M37" s="83" t="e">
        <f t="shared" si="8"/>
        <v>#REF!</v>
      </c>
    </row>
    <row r="38" spans="1:13" x14ac:dyDescent="0.2">
      <c r="A38" s="98" t="str">
        <f>'A4-FinPerf RE'!A30</f>
        <v>Bulk purchases</v>
      </c>
      <c r="B38" s="13"/>
      <c r="C38" s="13"/>
      <c r="D38" s="84">
        <f>'A4-FinPerf RE'!C30</f>
        <v>97566825</v>
      </c>
      <c r="E38" s="84">
        <f>'A4-FinPerf RE'!D30</f>
        <v>0</v>
      </c>
      <c r="F38" s="84">
        <f>'A4-FinPerf RE'!E30</f>
        <v>110950867</v>
      </c>
      <c r="G38" s="84">
        <f>'A4-FinPerf RE'!F30</f>
        <v>100000000</v>
      </c>
      <c r="H38" s="84">
        <f>'A4-FinPerf RE'!G30</f>
        <v>62054205.450000003</v>
      </c>
      <c r="I38" s="85">
        <f>'A4-FinPerf RE'!H30</f>
        <v>62054205.450000003</v>
      </c>
      <c r="J38" s="1010">
        <f>'A4-FinPerf RE'!I30</f>
        <v>50243531</v>
      </c>
      <c r="K38" s="86">
        <f>'A4-FinPerf RE'!J30</f>
        <v>149641061</v>
      </c>
      <c r="L38" s="84">
        <f>'A4-FinPerf RE'!K30</f>
        <v>158469883.59899998</v>
      </c>
      <c r="M38" s="87">
        <f>'A4-FinPerf RE'!L30</f>
        <v>167344197.08054399</v>
      </c>
    </row>
    <row r="39" spans="1:13" x14ac:dyDescent="0.2">
      <c r="A39" s="98" t="s">
        <v>1514</v>
      </c>
      <c r="B39" s="13"/>
      <c r="C39" s="13"/>
      <c r="D39" s="76">
        <v>0</v>
      </c>
      <c r="E39" s="76">
        <v>0</v>
      </c>
      <c r="F39" s="76">
        <v>0</v>
      </c>
      <c r="G39" s="76">
        <v>0</v>
      </c>
      <c r="H39" s="76">
        <v>0</v>
      </c>
      <c r="I39" s="77">
        <v>0</v>
      </c>
      <c r="J39" s="1006">
        <v>0</v>
      </c>
      <c r="K39" s="78">
        <v>0</v>
      </c>
      <c r="L39" s="76">
        <v>0</v>
      </c>
      <c r="M39" s="79">
        <v>0</v>
      </c>
    </row>
    <row r="40" spans="1:13" x14ac:dyDescent="0.2">
      <c r="A40" s="98" t="str">
        <f>'A4-FinPerf RE'!A32</f>
        <v>Contracted services</v>
      </c>
      <c r="B40" s="13"/>
      <c r="C40" s="13"/>
      <c r="D40" s="76">
        <f>'A4-FinPerf RE'!C32</f>
        <v>0</v>
      </c>
      <c r="E40" s="76">
        <f>'A4-FinPerf RE'!D32</f>
        <v>0</v>
      </c>
      <c r="F40" s="76">
        <f>'A4-FinPerf RE'!E32</f>
        <v>10084751</v>
      </c>
      <c r="G40" s="76">
        <f>'A4-FinPerf RE'!F32</f>
        <v>6300000</v>
      </c>
      <c r="H40" s="76">
        <f>'A4-FinPerf RE'!G32</f>
        <v>6000000</v>
      </c>
      <c r="I40" s="77">
        <f>'A4-FinPerf RE'!H32</f>
        <v>6000000</v>
      </c>
      <c r="J40" s="1006">
        <f>'A4-FinPerf RE'!I32</f>
        <v>5909455</v>
      </c>
      <c r="K40" s="78">
        <f>'A4-FinPerf RE'!J32</f>
        <v>11000000</v>
      </c>
      <c r="L40" s="76">
        <f>'A4-FinPerf RE'!K32</f>
        <v>11649000</v>
      </c>
      <c r="M40" s="79">
        <f>'A4-FinPerf RE'!L32</f>
        <v>12301344</v>
      </c>
    </row>
    <row r="41" spans="1:13" x14ac:dyDescent="0.2">
      <c r="A41" s="98" t="s">
        <v>402</v>
      </c>
      <c r="B41" s="13"/>
      <c r="C41" s="13"/>
      <c r="D41" s="76" t="e">
        <f>'SA1'!#REF!</f>
        <v>#REF!</v>
      </c>
      <c r="E41" s="76" t="e">
        <f>'SA1'!#REF!</f>
        <v>#REF!</v>
      </c>
      <c r="F41" s="76" t="e">
        <f>'SA1'!#REF!</f>
        <v>#REF!</v>
      </c>
      <c r="G41" s="76" t="e">
        <f>'SA1'!#REF!</f>
        <v>#REF!</v>
      </c>
      <c r="H41" s="76" t="e">
        <f>'SA1'!#REF!</f>
        <v>#REF!</v>
      </c>
      <c r="I41" s="77" t="e">
        <f>'SA1'!#REF!</f>
        <v>#REF!</v>
      </c>
      <c r="J41" s="1006" t="e">
        <f>'SA1'!#REF!</f>
        <v>#REF!</v>
      </c>
      <c r="K41" s="78" t="e">
        <f>'SA1'!#REF!</f>
        <v>#REF!</v>
      </c>
      <c r="L41" s="76" t="e">
        <f>'SA1'!#REF!</f>
        <v>#REF!</v>
      </c>
      <c r="M41" s="79" t="e">
        <f>'SA1'!#REF!</f>
        <v>#REF!</v>
      </c>
    </row>
    <row r="42" spans="1:13" x14ac:dyDescent="0.2">
      <c r="A42" s="98" t="str">
        <f>'A4-FinPerf RE'!A34</f>
        <v>Other expenditure</v>
      </c>
      <c r="B42" s="13"/>
      <c r="C42" s="13"/>
      <c r="D42" s="88" t="e">
        <f>-'A7-CFlow'!C14-NERF!D34-NERF!D38-NERF!D39-NERF!D40-D41-NERF!D52</f>
        <v>#REF!</v>
      </c>
      <c r="E42" s="88" t="e">
        <f>-'A7-CFlow'!D14-NERF!E34-NERF!E38-NERF!E39-NERF!E40-E41-NERF!E52</f>
        <v>#REF!</v>
      </c>
      <c r="F42" s="88" t="e">
        <f>-'A7-CFlow'!E14-NERF!F34-NERF!F38-NERF!F39-NERF!F40-F41-NERF!F52</f>
        <v>#REF!</v>
      </c>
      <c r="G42" s="88" t="e">
        <f>-'A7-CFlow'!F14-NERF!G34-NERF!G38-NERF!G39-NERF!G40-G41-NERF!G52-G82</f>
        <v>#REF!</v>
      </c>
      <c r="H42" s="88" t="e">
        <f>-'A7-CFlow'!G14-NERF!H34-NERF!H38-NERF!H39-NERF!H40-H41-NERF!H52-H82</f>
        <v>#REF!</v>
      </c>
      <c r="I42" s="89" t="e">
        <f>-'A7-CFlow'!H14-NERF!I34-NERF!I38-NERF!I39-NERF!I40-I41-NERF!I52-I82</f>
        <v>#REF!</v>
      </c>
      <c r="J42" s="1011" t="e">
        <f>-'A7-CFlow'!I14-NERF!J34-NERF!J38-NERF!J39-NERF!J40-J41-NERF!J52-J82</f>
        <v>#REF!</v>
      </c>
      <c r="K42" s="90" t="e">
        <f>-'A7-CFlow'!J14-NERF!K34-NERF!K38-NERF!K39-NERF!K40-K41-NERF!K52-K82</f>
        <v>#REF!</v>
      </c>
      <c r="L42" s="88" t="e">
        <f>-'A7-CFlow'!K14-NERF!L34-NERF!L38-NERF!L39-NERF!L40-L41-NERF!L52-L82</f>
        <v>#REF!</v>
      </c>
      <c r="M42" s="91" t="e">
        <f>-'A7-CFlow'!L14-NERF!M34-NERF!M38-NERF!M39-NERF!M40-M41-NERF!M52-M82</f>
        <v>#REF!</v>
      </c>
    </row>
    <row r="43" spans="1:13" x14ac:dyDescent="0.2">
      <c r="A43" s="99" t="s">
        <v>602</v>
      </c>
      <c r="B43" s="13"/>
      <c r="C43" s="13"/>
      <c r="D43" s="104">
        <f>SUM(D44:D46)</f>
        <v>0</v>
      </c>
      <c r="E43" s="104">
        <f t="shared" ref="E43:M43" si="9">SUM(E44:E46)</f>
        <v>0</v>
      </c>
      <c r="F43" s="104">
        <f t="shared" si="9"/>
        <v>0</v>
      </c>
      <c r="G43" s="104">
        <f t="shared" si="9"/>
        <v>0</v>
      </c>
      <c r="H43" s="104">
        <f t="shared" si="9"/>
        <v>0</v>
      </c>
      <c r="I43" s="105">
        <f t="shared" si="9"/>
        <v>0</v>
      </c>
      <c r="J43" s="1015">
        <f>SUM(J44:J46)</f>
        <v>0</v>
      </c>
      <c r="K43" s="106">
        <f t="shared" si="9"/>
        <v>0</v>
      </c>
      <c r="L43" s="104">
        <f t="shared" si="9"/>
        <v>0</v>
      </c>
      <c r="M43" s="118">
        <f t="shared" si="9"/>
        <v>0</v>
      </c>
    </row>
    <row r="44" spans="1:13" x14ac:dyDescent="0.2">
      <c r="A44" s="71" t="s">
        <v>344</v>
      </c>
      <c r="B44" s="13"/>
      <c r="C44" s="13"/>
      <c r="D44" s="84">
        <f>-'A7-CFlow'!C15</f>
        <v>0</v>
      </c>
      <c r="E44" s="84">
        <f>-'A7-CFlow'!D15</f>
        <v>0</v>
      </c>
      <c r="F44" s="84">
        <f>-'A7-CFlow'!E15</f>
        <v>0</v>
      </c>
      <c r="G44" s="84">
        <f>-'A7-CFlow'!F15</f>
        <v>0</v>
      </c>
      <c r="H44" s="84">
        <f>-'A7-CFlow'!G15</f>
        <v>0</v>
      </c>
      <c r="I44" s="85">
        <f>-'A7-CFlow'!H15</f>
        <v>0</v>
      </c>
      <c r="J44" s="1010">
        <f>-'A7-CFlow'!I15</f>
        <v>0</v>
      </c>
      <c r="K44" s="86">
        <f>-'A7-CFlow'!J15</f>
        <v>0</v>
      </c>
      <c r="L44" s="84">
        <f>-'A7-CFlow'!K15</f>
        <v>0</v>
      </c>
      <c r="M44" s="87">
        <f>-'A7-CFlow'!L15</f>
        <v>0</v>
      </c>
    </row>
    <row r="45" spans="1:13" x14ac:dyDescent="0.2">
      <c r="A45" s="71" t="s">
        <v>603</v>
      </c>
      <c r="B45" s="13"/>
      <c r="C45" s="13"/>
      <c r="D45" s="76">
        <v>0</v>
      </c>
      <c r="E45" s="76">
        <v>0</v>
      </c>
      <c r="F45" s="76">
        <v>0</v>
      </c>
      <c r="G45" s="76">
        <v>0</v>
      </c>
      <c r="H45" s="76">
        <v>0</v>
      </c>
      <c r="I45" s="77">
        <v>0</v>
      </c>
      <c r="J45" s="1006">
        <v>0</v>
      </c>
      <c r="K45" s="78">
        <v>0</v>
      </c>
      <c r="L45" s="76">
        <v>0</v>
      </c>
      <c r="M45" s="79">
        <v>0</v>
      </c>
    </row>
    <row r="46" spans="1:13" x14ac:dyDescent="0.2">
      <c r="A46" s="71" t="s">
        <v>604</v>
      </c>
      <c r="B46" s="13"/>
      <c r="C46" s="13"/>
      <c r="D46" s="88">
        <v>0</v>
      </c>
      <c r="E46" s="88">
        <v>0</v>
      </c>
      <c r="F46" s="88">
        <v>0</v>
      </c>
      <c r="G46" s="88">
        <v>0</v>
      </c>
      <c r="H46" s="88">
        <v>0</v>
      </c>
      <c r="I46" s="89">
        <v>0</v>
      </c>
      <c r="J46" s="1011">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1006">
        <v>0</v>
      </c>
      <c r="K47" s="78">
        <v>0</v>
      </c>
      <c r="L47" s="76">
        <v>0</v>
      </c>
      <c r="M47" s="79">
        <v>0</v>
      </c>
    </row>
    <row r="48" spans="1:13" x14ac:dyDescent="0.2">
      <c r="A48" s="99" t="s">
        <v>270</v>
      </c>
      <c r="B48" s="13"/>
      <c r="C48" s="13"/>
      <c r="D48" s="76">
        <v>0</v>
      </c>
      <c r="E48" s="76">
        <v>0</v>
      </c>
      <c r="F48" s="76">
        <v>0</v>
      </c>
      <c r="G48" s="76">
        <v>0</v>
      </c>
      <c r="H48" s="76">
        <v>0</v>
      </c>
      <c r="I48" s="77">
        <v>0</v>
      </c>
      <c r="J48" s="1006">
        <v>0</v>
      </c>
      <c r="K48" s="78">
        <v>0</v>
      </c>
      <c r="L48" s="76">
        <v>0</v>
      </c>
      <c r="M48" s="79">
        <v>0</v>
      </c>
    </row>
    <row r="49" spans="1:13" x14ac:dyDescent="0.2">
      <c r="A49" s="69" t="s">
        <v>605</v>
      </c>
      <c r="B49" s="13"/>
      <c r="C49" s="13"/>
      <c r="D49" s="80">
        <f>SUM(D50:D52)</f>
        <v>15000</v>
      </c>
      <c r="E49" s="80">
        <f t="shared" ref="E49:M49" si="10">SUM(E50:E52)</f>
        <v>2878000</v>
      </c>
      <c r="F49" s="80">
        <f t="shared" si="10"/>
        <v>2842000</v>
      </c>
      <c r="G49" s="80">
        <f t="shared" si="10"/>
        <v>9171600</v>
      </c>
      <c r="H49" s="80">
        <f t="shared" si="10"/>
        <v>9171600</v>
      </c>
      <c r="I49" s="81">
        <f t="shared" si="10"/>
        <v>9171600</v>
      </c>
      <c r="J49" s="1007">
        <f>SUM(J50:J52)</f>
        <v>14276640</v>
      </c>
      <c r="K49" s="82">
        <f t="shared" si="10"/>
        <v>18576640</v>
      </c>
      <c r="L49" s="80">
        <f t="shared" si="10"/>
        <v>19672661.759999998</v>
      </c>
      <c r="M49" s="83">
        <f t="shared" si="10"/>
        <v>20774330.818560001</v>
      </c>
    </row>
    <row r="50" spans="1:13" x14ac:dyDescent="0.2">
      <c r="A50" s="97" t="s">
        <v>271</v>
      </c>
      <c r="B50" s="13"/>
      <c r="C50" s="13"/>
      <c r="D50" s="84">
        <f>-'A7-CFlow'!C16</f>
        <v>0</v>
      </c>
      <c r="E50" s="84">
        <f>-'A7-CFlow'!D16</f>
        <v>2863000</v>
      </c>
      <c r="F50" s="84">
        <f>-'A7-CFlow'!E16</f>
        <v>2842000</v>
      </c>
      <c r="G50" s="84">
        <f>-'A7-CFlow'!F16</f>
        <v>0</v>
      </c>
      <c r="H50" s="84">
        <f>-'A7-CFlow'!G16</f>
        <v>0</v>
      </c>
      <c r="I50" s="85">
        <f>-'A7-CFlow'!H16</f>
        <v>0</v>
      </c>
      <c r="J50" s="1010">
        <f>-'A7-CFlow'!I16</f>
        <v>0</v>
      </c>
      <c r="K50" s="86">
        <f>-'A7-CFlow'!J16</f>
        <v>4300000</v>
      </c>
      <c r="L50" s="84">
        <f>-'A7-CFlow'!K16</f>
        <v>4553700</v>
      </c>
      <c r="M50" s="87">
        <f>-'A7-CFlow'!L16</f>
        <v>4808707.2</v>
      </c>
    </row>
    <row r="51" spans="1:13" x14ac:dyDescent="0.2">
      <c r="A51" s="70" t="str">
        <f>A21</f>
        <v>Public corporations and private enterprises</v>
      </c>
      <c r="B51" s="13"/>
      <c r="C51" s="13"/>
      <c r="D51" s="76">
        <v>0</v>
      </c>
      <c r="E51" s="76">
        <v>0</v>
      </c>
      <c r="F51" s="76">
        <v>0</v>
      </c>
      <c r="G51" s="76">
        <v>0</v>
      </c>
      <c r="H51" s="76">
        <v>0</v>
      </c>
      <c r="I51" s="77">
        <v>0</v>
      </c>
      <c r="J51" s="1006">
        <v>0</v>
      </c>
      <c r="K51" s="78">
        <v>0</v>
      </c>
      <c r="L51" s="76">
        <v>0</v>
      </c>
      <c r="M51" s="79">
        <v>0</v>
      </c>
    </row>
    <row r="52" spans="1:13" x14ac:dyDescent="0.2">
      <c r="A52" s="70" t="s">
        <v>272</v>
      </c>
      <c r="B52" s="13"/>
      <c r="C52" s="13"/>
      <c r="D52" s="88">
        <f>'A10-SerDel'!C78</f>
        <v>15000</v>
      </c>
      <c r="E52" s="88">
        <f>'A10-SerDel'!D78</f>
        <v>15000</v>
      </c>
      <c r="F52" s="88">
        <f>'A10-SerDel'!E78</f>
        <v>0</v>
      </c>
      <c r="G52" s="88">
        <f>'A10-SerDel'!F78</f>
        <v>9171600</v>
      </c>
      <c r="H52" s="88">
        <f>'A10-SerDel'!G78</f>
        <v>9171600</v>
      </c>
      <c r="I52" s="89">
        <f>'A10-SerDel'!H78</f>
        <v>9171600</v>
      </c>
      <c r="J52" s="1011">
        <f>'A10-SerDel'!I78</f>
        <v>14276640</v>
      </c>
      <c r="K52" s="90">
        <f>'A10-SerDel'!I78</f>
        <v>14276640</v>
      </c>
      <c r="L52" s="88">
        <f>'A10-SerDel'!J78</f>
        <v>15118961.76</v>
      </c>
      <c r="M52" s="91">
        <f>'A10-SerDel'!K78</f>
        <v>15965623.618560001</v>
      </c>
    </row>
    <row r="53" spans="1:13" x14ac:dyDescent="0.2">
      <c r="A53" s="69" t="s">
        <v>273</v>
      </c>
      <c r="B53" s="13"/>
      <c r="C53" s="13"/>
      <c r="D53" s="80">
        <f>SUM(D54:D57)</f>
        <v>91269400</v>
      </c>
      <c r="E53" s="80">
        <f t="shared" ref="E53:M53" si="11">SUM(E54:E57)</f>
        <v>150915098</v>
      </c>
      <c r="F53" s="80">
        <f t="shared" si="11"/>
        <v>113650291</v>
      </c>
      <c r="G53" s="80">
        <f t="shared" si="11"/>
        <v>110819751.63</v>
      </c>
      <c r="H53" s="80">
        <f t="shared" si="11"/>
        <v>111340502.91</v>
      </c>
      <c r="I53" s="81">
        <f t="shared" si="11"/>
        <v>111340502.91</v>
      </c>
      <c r="J53" s="1007">
        <f>SUM(J54:J57)</f>
        <v>10529960</v>
      </c>
      <c r="K53" s="82">
        <f t="shared" si="11"/>
        <v>116339135</v>
      </c>
      <c r="L53" s="80">
        <f t="shared" si="11"/>
        <v>122737787.425</v>
      </c>
      <c r="M53" s="83">
        <f t="shared" si="11"/>
        <v>129242890.15852499</v>
      </c>
    </row>
    <row r="54" spans="1:13" x14ac:dyDescent="0.2">
      <c r="A54" s="70" t="s">
        <v>278</v>
      </c>
      <c r="B54" s="13"/>
      <c r="C54" s="13"/>
      <c r="D54" s="84">
        <f>-'A7-CFlow'!C26-NERF!D55-NERF!D56-NERF!D57</f>
        <v>91269400</v>
      </c>
      <c r="E54" s="84">
        <f>-'A7-CFlow'!D26-NERF!E55-NERF!E56-NERF!E57</f>
        <v>149693123</v>
      </c>
      <c r="F54" s="84">
        <f>-'A7-CFlow'!E26-NERF!F55-NERF!F56-NERF!F57</f>
        <v>99055841</v>
      </c>
      <c r="G54" s="84">
        <f>-'A7-CFlow'!F26-NERF!G55-NERF!G56-NERF!G57</f>
        <v>110819751.63</v>
      </c>
      <c r="H54" s="84">
        <f>-'A7-CFlow'!G26-NERF!H55-NERF!H56-NERF!H57</f>
        <v>111250502.91</v>
      </c>
      <c r="I54" s="85">
        <f>-'A7-CFlow'!H26-NERF!I55-NERF!I56-NERF!I57</f>
        <v>111250502.91</v>
      </c>
      <c r="J54" s="1010">
        <f>-'A7-CFlow'!I26-NERF!J55-NERF!J56-NERF!J57</f>
        <v>10439960</v>
      </c>
      <c r="K54" s="86">
        <f>-'A7-CFlow'!J26-NERF!K55-NERF!K56-NERF!K57</f>
        <v>116249135</v>
      </c>
      <c r="L54" s="84">
        <f>-'A7-CFlow'!K26-NERF!L55-NERF!L56-NERF!L57</f>
        <v>122642477.425</v>
      </c>
      <c r="M54" s="87">
        <f>-'A7-CFlow'!L26-NERF!M55-NERF!M56-NERF!M57</f>
        <v>129142242.79852499</v>
      </c>
    </row>
    <row r="55" spans="1:13" x14ac:dyDescent="0.2">
      <c r="A55" s="70" t="s">
        <v>274</v>
      </c>
      <c r="B55" s="13"/>
      <c r="C55" s="13"/>
      <c r="D55" s="76">
        <f>SA34a!C52+SA34a!C54+SA34a!C55+SA34a!C56</f>
        <v>0</v>
      </c>
      <c r="E55" s="76">
        <f>SA34a!D52+SA34a!D54+SA34a!D55+SA34a!D56</f>
        <v>1221975</v>
      </c>
      <c r="F55" s="76">
        <f>SA34a!E52+SA34a!E54+SA34a!E55+SA34a!E56</f>
        <v>14594450</v>
      </c>
      <c r="G55" s="76">
        <f>SA34a!F52+SA34a!F54+SA34a!F55+SA34a!F56</f>
        <v>0</v>
      </c>
      <c r="H55" s="76">
        <f>SA34a!G52+SA34a!G54+SA34a!G55+SA34a!G56</f>
        <v>90000</v>
      </c>
      <c r="I55" s="77">
        <f>SA34a!H52+SA34a!H54+SA34a!H55+SA34a!H56</f>
        <v>90000</v>
      </c>
      <c r="J55" s="1006">
        <f>SA34a!I52+SA34a!I54+SA34a!I55+SA34a!I56</f>
        <v>90000</v>
      </c>
      <c r="K55" s="78">
        <f>SA34a!I52+SA34a!I54+SA34a!I55+SA34a!I56</f>
        <v>90000</v>
      </c>
      <c r="L55" s="76">
        <f>SA34a!J52+SA34a!J54+SA34a!J55+SA34a!J56</f>
        <v>95310</v>
      </c>
      <c r="M55" s="79">
        <f>SA34a!K52+SA34a!K54+SA34a!K55+SA34a!K56</f>
        <v>100647.36</v>
      </c>
    </row>
    <row r="56" spans="1:13" x14ac:dyDescent="0.2">
      <c r="A56" s="70" t="s">
        <v>275</v>
      </c>
      <c r="B56" s="13"/>
      <c r="C56" s="13"/>
      <c r="D56" s="76">
        <f>'A9-Asset'!C48</f>
        <v>0</v>
      </c>
      <c r="E56" s="76">
        <f>'A9-Asset'!D48</f>
        <v>0</v>
      </c>
      <c r="F56" s="76">
        <f>'A9-Asset'!E48</f>
        <v>0</v>
      </c>
      <c r="G56" s="76">
        <f>'A9-Asset'!F48</f>
        <v>0</v>
      </c>
      <c r="H56" s="76">
        <f>'A9-Asset'!G48</f>
        <v>0</v>
      </c>
      <c r="I56" s="77">
        <f>'A9-Asset'!H48</f>
        <v>0</v>
      </c>
      <c r="J56" s="1006">
        <f>'A9-Asset'!I48</f>
        <v>0</v>
      </c>
      <c r="K56" s="78">
        <f>'A9-Asset'!I48</f>
        <v>0</v>
      </c>
      <c r="L56" s="76">
        <f>'A9-Asset'!J48</f>
        <v>0</v>
      </c>
      <c r="M56" s="79">
        <f>'A9-Asset'!K48</f>
        <v>0</v>
      </c>
    </row>
    <row r="57" spans="1:13" x14ac:dyDescent="0.2">
      <c r="A57" s="70" t="s">
        <v>610</v>
      </c>
      <c r="B57" s="13"/>
      <c r="C57" s="13"/>
      <c r="D57" s="76">
        <f>SA34a!C61</f>
        <v>0</v>
      </c>
      <c r="E57" s="76">
        <f>SA34a!D61</f>
        <v>0</v>
      </c>
      <c r="F57" s="76">
        <f>SA34a!E61</f>
        <v>0</v>
      </c>
      <c r="G57" s="76">
        <f>SA34a!F61</f>
        <v>0</v>
      </c>
      <c r="H57" s="76">
        <f>SA34a!G61</f>
        <v>0</v>
      </c>
      <c r="I57" s="77">
        <f>SA34a!H61</f>
        <v>0</v>
      </c>
      <c r="J57" s="1006">
        <f>SA34a!I61</f>
        <v>0</v>
      </c>
      <c r="K57" s="78">
        <f>SA34a!I61</f>
        <v>0</v>
      </c>
      <c r="L57" s="76">
        <f>SA34a!J61</f>
        <v>0</v>
      </c>
      <c r="M57" s="79">
        <f>SA34a!K61</f>
        <v>0</v>
      </c>
    </row>
    <row r="58" spans="1:13" x14ac:dyDescent="0.2">
      <c r="A58" s="8" t="s">
        <v>265</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1013" t="e">
        <f>SUM(J34,J37,J43,J47,J48,J49,J53)</f>
        <v>#REF!</v>
      </c>
      <c r="K58" s="94" t="e">
        <f t="shared" si="12"/>
        <v>#REF!</v>
      </c>
      <c r="L58" s="92" t="e">
        <f t="shared" si="12"/>
        <v>#REF!</v>
      </c>
      <c r="M58" s="95" t="e">
        <f t="shared" si="12"/>
        <v>#REF!</v>
      </c>
    </row>
    <row r="59" spans="1:13" x14ac:dyDescent="0.2">
      <c r="A59" s="15" t="s">
        <v>276</v>
      </c>
      <c r="B59" s="13"/>
      <c r="C59" s="13"/>
      <c r="D59" s="80" t="e">
        <f>D31-D58</f>
        <v>#REF!</v>
      </c>
      <c r="E59" s="80" t="e">
        <f t="shared" ref="E59:M59" si="13">E31-E58</f>
        <v>#REF!</v>
      </c>
      <c r="F59" s="80" t="e">
        <f t="shared" si="13"/>
        <v>#REF!</v>
      </c>
      <c r="G59" s="80" t="e">
        <f t="shared" si="13"/>
        <v>#REF!</v>
      </c>
      <c r="H59" s="80" t="e">
        <f t="shared" si="13"/>
        <v>#REF!</v>
      </c>
      <c r="I59" s="81" t="e">
        <f t="shared" si="13"/>
        <v>#REF!</v>
      </c>
      <c r="J59" s="1007" t="e">
        <f t="shared" si="13"/>
        <v>#REF!</v>
      </c>
      <c r="K59" s="82" t="e">
        <f t="shared" si="13"/>
        <v>#REF!</v>
      </c>
      <c r="L59" s="80" t="e">
        <f t="shared" si="13"/>
        <v>#REF!</v>
      </c>
      <c r="M59" s="83" t="e">
        <f t="shared" si="13"/>
        <v>#REF!</v>
      </c>
    </row>
    <row r="60" spans="1:13" x14ac:dyDescent="0.2">
      <c r="A60" s="69" t="s">
        <v>1426</v>
      </c>
      <c r="B60" s="13"/>
      <c r="C60" s="13"/>
      <c r="D60" s="80"/>
      <c r="E60" s="80"/>
      <c r="F60" s="80"/>
      <c r="G60" s="80"/>
      <c r="H60" s="80"/>
      <c r="I60" s="81"/>
      <c r="J60" s="1007"/>
      <c r="K60" s="82"/>
      <c r="L60" s="80"/>
      <c r="M60" s="83"/>
    </row>
    <row r="61" spans="1:13" x14ac:dyDescent="0.2">
      <c r="A61" s="97" t="str">
        <f>'A7-CFlow'!A32</f>
        <v>Borrowing long term/refinancing</v>
      </c>
      <c r="B61" s="13"/>
      <c r="C61" s="13"/>
      <c r="D61" s="110">
        <f>SUM('A7-CFlow'!C31,'A7-CFlow'!C32)</f>
        <v>0</v>
      </c>
      <c r="E61" s="110">
        <f>SUM('A7-CFlow'!D31,'A7-CFlow'!D32)</f>
        <v>0</v>
      </c>
      <c r="F61" s="110">
        <f>SUM('A7-CFlow'!E31,'A7-CFlow'!E32)</f>
        <v>0</v>
      </c>
      <c r="G61" s="110">
        <f>SUM('A7-CFlow'!F31,'A7-CFlow'!F32)</f>
        <v>0</v>
      </c>
      <c r="H61" s="110">
        <f>SUM('A7-CFlow'!G31,'A7-CFlow'!G32)</f>
        <v>0</v>
      </c>
      <c r="I61" s="111">
        <f>SUM('A7-CFlow'!H31,'A7-CFlow'!H32)</f>
        <v>0</v>
      </c>
      <c r="J61" s="1012">
        <f>SUM('A7-CFlow'!I31,'A7-CFlow'!I32)</f>
        <v>0</v>
      </c>
      <c r="K61" s="112">
        <f>SUM('A7-CFlow'!J31,'A7-CFlow'!J32)</f>
        <v>0</v>
      </c>
      <c r="L61" s="110">
        <f>SUM('A7-CFlow'!K31,'A7-CFlow'!K32)</f>
        <v>0</v>
      </c>
      <c r="M61" s="116">
        <f>SUM('A7-CFlow'!L31,'A7-CFlow'!L32)</f>
        <v>0</v>
      </c>
    </row>
    <row r="62" spans="1:13" x14ac:dyDescent="0.2">
      <c r="A62" s="70" t="s">
        <v>1499</v>
      </c>
      <c r="B62" s="13"/>
      <c r="C62" s="13"/>
      <c r="D62" s="110">
        <f>'A7-CFlow'!C33</f>
        <v>0</v>
      </c>
      <c r="E62" s="110">
        <f>'A7-CFlow'!D33</f>
        <v>0</v>
      </c>
      <c r="F62" s="110">
        <f>'A7-CFlow'!E33</f>
        <v>0</v>
      </c>
      <c r="G62" s="110">
        <f>'A7-CFlow'!F33</f>
        <v>0</v>
      </c>
      <c r="H62" s="110">
        <f>'A7-CFlow'!G33</f>
        <v>0</v>
      </c>
      <c r="I62" s="111">
        <f>'A7-CFlow'!H33</f>
        <v>0</v>
      </c>
      <c r="J62" s="1012">
        <f>'A7-CFlow'!I33</f>
        <v>0</v>
      </c>
      <c r="K62" s="112">
        <f>'A7-CFlow'!J33</f>
        <v>0</v>
      </c>
      <c r="L62" s="110">
        <f>'A7-CFlow'!K33</f>
        <v>0</v>
      </c>
      <c r="M62" s="116">
        <f>'A7-CFlow'!L33</f>
        <v>0</v>
      </c>
    </row>
    <row r="63" spans="1:13" x14ac:dyDescent="0.2">
      <c r="A63" s="70" t="s">
        <v>985</v>
      </c>
      <c r="B63" s="13"/>
      <c r="C63" s="13"/>
      <c r="D63" s="110">
        <f>IF('A7-CFlow'!C24&gt;0,'A7-CFlow'!C24,0)</f>
        <v>0</v>
      </c>
      <c r="E63" s="110">
        <f>IF('A7-CFlow'!D24&gt;0,'A7-CFlow'!D24,0)</f>
        <v>0</v>
      </c>
      <c r="F63" s="110">
        <f>IF('A7-CFlow'!E24&gt;0,'A7-CFlow'!E24,0)</f>
        <v>0</v>
      </c>
      <c r="G63" s="110">
        <f>IF('A7-CFlow'!F24&gt;0,'A7-CFlow'!F24,0)</f>
        <v>0</v>
      </c>
      <c r="H63" s="110">
        <f>IF('A7-CFlow'!G24&gt;0,'A7-CFlow'!G24,0)</f>
        <v>0</v>
      </c>
      <c r="I63" s="111">
        <f>IF('A7-CFlow'!H24&gt;0,'A7-CFlow'!H24,0)</f>
        <v>0</v>
      </c>
      <c r="J63" s="1012">
        <f>IF('A7-CFlow'!I24&gt;0,'A7-CFlow'!I24,0)</f>
        <v>0</v>
      </c>
      <c r="K63" s="112">
        <f>IF('A7-CFlow'!J24&gt;0,'A7-CFlow'!J24,0)</f>
        <v>0</v>
      </c>
      <c r="L63" s="110">
        <f>IF('A7-CFlow'!K24&gt;0,'A7-CFlow'!K24,0)</f>
        <v>0</v>
      </c>
      <c r="M63" s="116">
        <f>IF('A7-CFlow'!L24&gt;0,'A7-CFlow'!L24,0)</f>
        <v>0</v>
      </c>
    </row>
    <row r="64" spans="1:13" x14ac:dyDescent="0.2">
      <c r="A64" s="70" t="s">
        <v>342</v>
      </c>
      <c r="B64" s="13"/>
      <c r="C64" s="13"/>
      <c r="D64" s="110">
        <f>IF('A7-CFlow'!C24&lt;0,'A7-CFlow'!C24,0)</f>
        <v>0</v>
      </c>
      <c r="E64" s="110">
        <f>IF('A7-CFlow'!D24&lt;0,'A7-CFlow'!D24,0)</f>
        <v>0</v>
      </c>
      <c r="F64" s="110">
        <f>IF('A7-CFlow'!E24&lt;0,'A7-CFlow'!E24,0)</f>
        <v>0</v>
      </c>
      <c r="G64" s="110">
        <f>IF('A7-CFlow'!F24&lt;0,'A7-CFlow'!F24,0)</f>
        <v>0</v>
      </c>
      <c r="H64" s="110">
        <f>IF('A7-CFlow'!G24&lt;0,'A7-CFlow'!G24,0)</f>
        <v>0</v>
      </c>
      <c r="I64" s="111">
        <f>IF('A7-CFlow'!H24&lt;0,'A7-CFlow'!H24,0)</f>
        <v>0</v>
      </c>
      <c r="J64" s="1012">
        <f>IF('A7-CFlow'!I24&lt;0,'A7-CFlow'!I24,0)</f>
        <v>0</v>
      </c>
      <c r="K64" s="112">
        <f>IF('A7-CFlow'!J24&lt;0,'A7-CFlow'!J24,0)</f>
        <v>0</v>
      </c>
      <c r="L64" s="110">
        <f>IF('A7-CFlow'!K24&lt;0,'A7-CFlow'!K24,0)</f>
        <v>0</v>
      </c>
      <c r="M64" s="116">
        <f>IF('A7-CFlow'!L24&lt;0,'A7-CFlow'!L24,0)</f>
        <v>0</v>
      </c>
    </row>
    <row r="65" spans="1:13" x14ac:dyDescent="0.2">
      <c r="A65" s="70" t="str">
        <f>'A7-CFlow'!A35</f>
        <v>Repayment of borrowing</v>
      </c>
      <c r="B65" s="13"/>
      <c r="C65" s="13"/>
      <c r="D65" s="110">
        <f>'A7-CFlow'!C35</f>
        <v>0</v>
      </c>
      <c r="E65" s="110">
        <f>'A7-CFlow'!D35</f>
        <v>0</v>
      </c>
      <c r="F65" s="110">
        <f>'A7-CFlow'!E35</f>
        <v>0</v>
      </c>
      <c r="G65" s="110">
        <f>'A7-CFlow'!F35</f>
        <v>0</v>
      </c>
      <c r="H65" s="110">
        <f>'A7-CFlow'!G35</f>
        <v>0</v>
      </c>
      <c r="I65" s="111">
        <f>'A7-CFlow'!H35</f>
        <v>0</v>
      </c>
      <c r="J65" s="1012">
        <f>'A7-CFlow'!I35</f>
        <v>0</v>
      </c>
      <c r="K65" s="112">
        <f>'A7-CFlow'!J35</f>
        <v>0</v>
      </c>
      <c r="L65" s="110">
        <f>'A7-CFlow'!K35</f>
        <v>0</v>
      </c>
      <c r="M65" s="116">
        <f>'A7-CFlow'!L35</f>
        <v>0</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1007" t="e">
        <f t="shared" si="14"/>
        <v>#REF!</v>
      </c>
      <c r="K66" s="82" t="e">
        <f t="shared" si="14"/>
        <v>#REF!</v>
      </c>
      <c r="L66" s="80" t="e">
        <f t="shared" si="14"/>
        <v>#REF!</v>
      </c>
      <c r="M66" s="83" t="e">
        <f t="shared" si="14"/>
        <v>#REF!</v>
      </c>
    </row>
    <row r="67" spans="1:13" x14ac:dyDescent="0.2">
      <c r="A67" s="15" t="s">
        <v>277</v>
      </c>
      <c r="B67" s="13"/>
      <c r="C67" s="13"/>
      <c r="D67" s="80">
        <f>'A7-CFlow'!C38</f>
        <v>-11902304</v>
      </c>
      <c r="E67" s="80">
        <f>'A7-CFlow'!D38</f>
        <v>-72722464</v>
      </c>
      <c r="F67" s="80">
        <f>'A7-CFlow'!E38</f>
        <v>38022179</v>
      </c>
      <c r="G67" s="80">
        <f>'A7-CFlow'!F38</f>
        <v>-19173132.422255993</v>
      </c>
      <c r="H67" s="80">
        <f>'A7-CFlow'!G38</f>
        <v>-256502651.76999995</v>
      </c>
      <c r="I67" s="81">
        <f>'A7-CFlow'!H38</f>
        <v>-256502651.76999995</v>
      </c>
      <c r="J67" s="1007">
        <f>'A7-CFlow'!I38</f>
        <v>37832164</v>
      </c>
      <c r="K67" s="82">
        <f>'A7-CFlow'!J38</f>
        <v>-0.22000002861022949</v>
      </c>
      <c r="L67" s="80">
        <f>'A7-CFlow'!K38</f>
        <v>465356.30702002347</v>
      </c>
      <c r="M67" s="83">
        <f>'A7-CFlow'!L38</f>
        <v>859629.62248808146</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1016" t="e">
        <f t="shared" si="15"/>
        <v>#REF!</v>
      </c>
      <c r="K68" s="127" t="e">
        <f t="shared" si="15"/>
        <v>#REF!</v>
      </c>
      <c r="L68" s="128" t="e">
        <f t="shared" si="15"/>
        <v>#REF!</v>
      </c>
      <c r="M68" s="129" t="e">
        <f t="shared" si="15"/>
        <v>#REF!</v>
      </c>
    </row>
    <row r="70" spans="1:13" x14ac:dyDescent="0.2">
      <c r="A70" s="2" t="s">
        <v>266</v>
      </c>
      <c r="C70" s="73"/>
      <c r="D70" s="72">
        <f>'A7-CFlow'!C22+'A7-CFlow'!C23-NERF!D74</f>
        <v>24564289.999999993</v>
      </c>
      <c r="E70" s="72">
        <f>'A7-CFlow'!D22+'A7-CFlow'!D23-NERF!E74</f>
        <v>-73692870</v>
      </c>
      <c r="F70" s="72">
        <f>'A7-CFlow'!E22+'A7-CFlow'!E23-NERF!F74</f>
        <v>73692870</v>
      </c>
      <c r="G70" s="72">
        <f>'A7-CFlow'!F22+'A7-CFlow'!F23-NERF!G74</f>
        <v>-160269000</v>
      </c>
      <c r="H70" s="72">
        <f>'A7-CFlow'!G22+'A7-CFlow'!G23-NERF!H74</f>
        <v>0</v>
      </c>
      <c r="I70" s="72">
        <f>'A7-CFlow'!H22+'A7-CFlow'!H23-NERF!I74</f>
        <v>0</v>
      </c>
      <c r="J70" s="72">
        <f>'A7-CFlow'!I22+'A7-CFlow'!I23-NERF!J74</f>
        <v>160269000</v>
      </c>
      <c r="K70" s="72">
        <f>'A7-CFlow'!J22+'A7-CFlow'!J23-NERF!K74</f>
        <v>160269000</v>
      </c>
      <c r="L70" s="72">
        <f>'A7-CFlow'!K22+'A7-CFlow'!K23-NERF!L74</f>
        <v>0</v>
      </c>
      <c r="M70" s="72">
        <f>'A7-CFlow'!L22+'A7-CFlow'!L23-NERF!M74</f>
        <v>0</v>
      </c>
    </row>
    <row r="71" spans="1:13" x14ac:dyDescent="0.2">
      <c r="A71" s="2" t="s">
        <v>1585</v>
      </c>
      <c r="C71" s="77"/>
      <c r="D71" s="124">
        <f t="shared" ref="D71:M71" si="16">IF(ISERROR(ROUND(D70*D76,0)),0,(ROUND(D70*D76,0)))</f>
        <v>3488129</v>
      </c>
      <c r="E71" s="76">
        <f t="shared" si="16"/>
        <v>-8695759</v>
      </c>
      <c r="F71" s="76">
        <f t="shared" si="16"/>
        <v>14959653</v>
      </c>
      <c r="G71" s="76">
        <f t="shared" si="16"/>
        <v>-20834970</v>
      </c>
      <c r="H71" s="76">
        <f t="shared" si="16"/>
        <v>0</v>
      </c>
      <c r="I71" s="76">
        <f t="shared" si="16"/>
        <v>0</v>
      </c>
      <c r="J71" s="76">
        <f t="shared" si="16"/>
        <v>27726537</v>
      </c>
      <c r="K71" s="76">
        <f t="shared" si="16"/>
        <v>78852348</v>
      </c>
      <c r="L71" s="76">
        <f t="shared" si="16"/>
        <v>0</v>
      </c>
      <c r="M71" s="76">
        <f t="shared" si="16"/>
        <v>0</v>
      </c>
    </row>
    <row r="72" spans="1:13" x14ac:dyDescent="0.2">
      <c r="A72" s="2" t="s">
        <v>1587</v>
      </c>
      <c r="C72" s="10"/>
      <c r="D72" s="76">
        <f>D70-D71</f>
        <v>21076160.999999993</v>
      </c>
      <c r="E72" s="76">
        <f t="shared" ref="E72:M72" si="17">E70-E71</f>
        <v>-64997111</v>
      </c>
      <c r="F72" s="76">
        <f t="shared" si="17"/>
        <v>58733217</v>
      </c>
      <c r="G72" s="76">
        <f t="shared" si="17"/>
        <v>-139434030</v>
      </c>
      <c r="H72" s="76">
        <f t="shared" si="17"/>
        <v>0</v>
      </c>
      <c r="I72" s="76">
        <f t="shared" si="17"/>
        <v>0</v>
      </c>
      <c r="J72" s="76">
        <f t="shared" si="17"/>
        <v>132542463</v>
      </c>
      <c r="K72" s="76">
        <f t="shared" si="17"/>
        <v>81416652</v>
      </c>
      <c r="L72" s="76">
        <f t="shared" si="17"/>
        <v>0</v>
      </c>
      <c r="M72" s="76">
        <f t="shared" si="17"/>
        <v>0</v>
      </c>
    </row>
    <row r="73" spans="1:13" x14ac:dyDescent="0.2">
      <c r="A73" s="2" t="str">
        <f>'A6-FinPos'!A9</f>
        <v>Other debtors</v>
      </c>
      <c r="C73" s="77">
        <f>TREND(D73:F73)</f>
        <v>24564289.999999993</v>
      </c>
      <c r="D73" s="76">
        <f>'A6-FinPos'!C9</f>
        <v>0</v>
      </c>
      <c r="E73" s="76">
        <f>'A6-FinPos'!D9</f>
        <v>73692870</v>
      </c>
      <c r="F73" s="76">
        <f>'A6-FinPos'!E9</f>
        <v>0</v>
      </c>
      <c r="G73" s="76">
        <f>'A6-FinPos'!F9</f>
        <v>160269000</v>
      </c>
      <c r="H73" s="76">
        <f>'A6-FinPos'!G9</f>
        <v>160269000</v>
      </c>
      <c r="I73" s="76">
        <f>'A6-FinPos'!H9</f>
        <v>160269000</v>
      </c>
      <c r="J73" s="76">
        <f>'A6-FinPos'!I9</f>
        <v>0</v>
      </c>
      <c r="K73" s="76">
        <f>'A6-FinPos'!J9</f>
        <v>0</v>
      </c>
      <c r="L73" s="76">
        <f>'A6-FinPos'!K9</f>
        <v>0</v>
      </c>
      <c r="M73" s="76">
        <f>'A6-FinPos'!L9</f>
        <v>0</v>
      </c>
    </row>
    <row r="74" spans="1:13" x14ac:dyDescent="0.2">
      <c r="A74" s="2" t="s">
        <v>267</v>
      </c>
      <c r="C74" s="77"/>
      <c r="D74" s="76">
        <f>D73-C73</f>
        <v>-24564289.999999993</v>
      </c>
      <c r="E74" s="76">
        <f t="shared" ref="E74:M74" si="18">E73-D73</f>
        <v>73692870</v>
      </c>
      <c r="F74" s="76">
        <f t="shared" si="18"/>
        <v>-73692870</v>
      </c>
      <c r="G74" s="76">
        <f t="shared" si="18"/>
        <v>160269000</v>
      </c>
      <c r="H74" s="76">
        <f t="shared" si="18"/>
        <v>0</v>
      </c>
      <c r="I74" s="76">
        <f t="shared" si="18"/>
        <v>0</v>
      </c>
      <c r="J74" s="76">
        <f t="shared" si="18"/>
        <v>-160269000</v>
      </c>
      <c r="K74" s="76">
        <f>K73-I73</f>
        <v>-160269000</v>
      </c>
      <c r="L74" s="76">
        <f t="shared" si="18"/>
        <v>0</v>
      </c>
      <c r="M74" s="76">
        <f t="shared" si="18"/>
        <v>0</v>
      </c>
    </row>
    <row r="75" spans="1:13" x14ac:dyDescent="0.2">
      <c r="C75" s="10"/>
      <c r="D75" s="13"/>
      <c r="E75" s="13"/>
      <c r="F75" s="13"/>
      <c r="G75" s="13"/>
      <c r="H75" s="13"/>
      <c r="I75" s="13"/>
      <c r="J75" s="13"/>
      <c r="K75" s="13"/>
      <c r="L75" s="13"/>
      <c r="M75" s="13"/>
    </row>
    <row r="76" spans="1:13" x14ac:dyDescent="0.2">
      <c r="A76" s="2" t="s">
        <v>1586</v>
      </c>
      <c r="C76" s="10"/>
      <c r="D76" s="56">
        <f>IF(ISERROR(ROUND(('A4-FinPerf RE'!C5+'A4-FinPerf RE'!C6)/SUM('A4-FinPerf RE'!C5:C11),3)),0,(ROUND(('A4-FinPerf RE'!C5+'A4-FinPerf RE'!C6)/SUM('A4-FinPerf RE'!C5:C11),3)))</f>
        <v>0.14199999999999999</v>
      </c>
      <c r="E76" s="56">
        <f>IF(ISERROR(ROUND(('A4-FinPerf RE'!D5+'A4-FinPerf RE'!D6)/SUM('A4-FinPerf RE'!D5:D11),3)),0,(ROUND(('A4-FinPerf RE'!D5+'A4-FinPerf RE'!D6)/SUM('A4-FinPerf RE'!D5:D11),3)))</f>
        <v>0.11799999999999999</v>
      </c>
      <c r="F76" s="56">
        <f>IF(ISERROR(ROUND(('A4-FinPerf RE'!E5+'A4-FinPerf RE'!E6)/SUM('A4-FinPerf RE'!E5:E11),3)),0,(ROUND(('A4-FinPerf RE'!E5+'A4-FinPerf RE'!E6)/SUM('A4-FinPerf RE'!E5:E11),3)))</f>
        <v>0.20300000000000001</v>
      </c>
      <c r="G76" s="56">
        <f>IF(ISERROR(ROUND(('A4-FinPerf RE'!F5+'A4-FinPerf RE'!F6)/SUM('A4-FinPerf RE'!F5:F11),3)),0,(ROUND(('A4-FinPerf RE'!F5+'A4-FinPerf RE'!F6)/SUM('A4-FinPerf RE'!F5:F11),3)))</f>
        <v>0.13</v>
      </c>
      <c r="H76" s="56">
        <f>IF(ISERROR(ROUND(('A4-FinPerf RE'!G5+'A4-FinPerf RE'!G6)/SUM('A4-FinPerf RE'!G5:G11),3)),0,(ROUND(('A4-FinPerf RE'!G5+'A4-FinPerf RE'!G6)/SUM('A4-FinPerf RE'!G5:G11),3)))</f>
        <v>0.29099999999999998</v>
      </c>
      <c r="I76" s="56">
        <f>IF(ISERROR(ROUND(('A4-FinPerf RE'!H5+'A4-FinPerf RE'!H6)/SUM('A4-FinPerf RE'!H5:H11),3)),0,(ROUND(('A4-FinPerf RE'!H5+'A4-FinPerf RE'!H6)/SUM('A4-FinPerf RE'!H5:H11),3)))</f>
        <v>0.29099999999999998</v>
      </c>
      <c r="J76" s="56">
        <f>IF(ISERROR(ROUND(('A4-FinPerf RE'!I5+'A4-FinPerf RE'!I6)/SUM('A4-FinPerf RE'!I5:I11),3)),0,(ROUND(('A4-FinPerf RE'!I5+'A4-FinPerf RE'!I6)/SUM('A4-FinPerf RE'!I5:I11),3)))</f>
        <v>0.17299999999999999</v>
      </c>
      <c r="K76" s="56">
        <f>IF(ISERROR(ROUND(('A4-FinPerf RE'!J5+'A4-FinPerf RE'!J6)/SUM('A4-FinPerf RE'!J5:J11),3)),0,(ROUND(('A4-FinPerf RE'!J5+'A4-FinPerf RE'!J6)/SUM('A4-FinPerf RE'!J5:J11),3)))</f>
        <v>0.49199999999999999</v>
      </c>
      <c r="L76" s="56">
        <f>IF(ISERROR(ROUND(('A4-FinPerf RE'!K5+'A4-FinPerf RE'!K6)/SUM('A4-FinPerf RE'!K5:K11),3)),0,(ROUND(('A4-FinPerf RE'!K5+'A4-FinPerf RE'!K6)/SUM('A4-FinPerf RE'!K5:K11),3)))</f>
        <v>0.49199999999999999</v>
      </c>
      <c r="M76" s="56">
        <f>IF(ISERROR(ROUND(('A4-FinPerf RE'!L5+'A4-FinPerf RE'!L6)/SUM('A4-FinPerf RE'!L5:L11),3)),0,(ROUND(('A4-FinPerf RE'!L5+'A4-FinPerf RE'!L6)/SUM('A4-FinPerf RE'!L5:L11),3)))</f>
        <v>0.49199999999999999</v>
      </c>
    </row>
    <row r="77" spans="1:13" x14ac:dyDescent="0.2">
      <c r="A77" s="2" t="s">
        <v>1429</v>
      </c>
      <c r="C77" s="77"/>
      <c r="D77" s="76" t="e">
        <f>D31-'A7-CFlow'!C45</f>
        <v>#REF!</v>
      </c>
      <c r="E77" s="76" t="e">
        <f>E31-'A7-CFlow'!D45</f>
        <v>#REF!</v>
      </c>
      <c r="F77" s="76" t="e">
        <f>F31-'A7-CFlow'!E45</f>
        <v>#REF!</v>
      </c>
      <c r="G77" s="76" t="e">
        <f>G31-'A7-CFlow'!F45</f>
        <v>#REF!</v>
      </c>
      <c r="H77" s="76" t="e">
        <f>H31-'A7-CFlow'!G45</f>
        <v>#REF!</v>
      </c>
      <c r="I77" s="76" t="e">
        <f>I31-'A7-CFlow'!H45</f>
        <v>#REF!</v>
      </c>
      <c r="J77" s="76" t="e">
        <f>J31-'A7-CFlow'!I45</f>
        <v>#REF!</v>
      </c>
      <c r="K77" s="76" t="e">
        <f>K31-'A7-CFlow'!J45</f>
        <v>#REF!</v>
      </c>
      <c r="L77" s="76" t="e">
        <f>L31-'A7-CFlow'!K45</f>
        <v>#REF!</v>
      </c>
      <c r="M77" s="76" t="e">
        <f>M31-'A7-CFlow'!L45</f>
        <v>#REF!</v>
      </c>
    </row>
    <row r="78" spans="1:13" x14ac:dyDescent="0.2">
      <c r="A78" s="2" t="s">
        <v>1427</v>
      </c>
      <c r="D78" s="76">
        <f>'A7-CFlow'!C22+'A7-CFlow'!C23-NERF!D71-NERF!D72-NERF!D74</f>
        <v>0</v>
      </c>
      <c r="E78" s="76">
        <f>'A7-CFlow'!D22+'A7-CFlow'!D23-NERF!E71-NERF!E72-NERF!E74</f>
        <v>0</v>
      </c>
      <c r="F78" s="76">
        <f>'A7-CFlow'!E22+'A7-CFlow'!E23-NERF!F71-NERF!F72-NERF!F74</f>
        <v>0</v>
      </c>
      <c r="G78" s="76">
        <f>'A7-CFlow'!F22+'A7-CFlow'!F23-NERF!G71-NERF!G72-NERF!G74</f>
        <v>0</v>
      </c>
      <c r="H78" s="76">
        <f>'A7-CFlow'!G22+'A7-CFlow'!G23-NERF!H71-NERF!H72-NERF!H74</f>
        <v>0</v>
      </c>
      <c r="I78" s="76">
        <f>'A7-CFlow'!H22+'A7-CFlow'!H23-NERF!I71-NERF!I72-NERF!I74</f>
        <v>0</v>
      </c>
      <c r="J78" s="76">
        <f>'A7-CFlow'!I22+'A7-CFlow'!I23-NERF!J71-NERF!J72-NERF!J74</f>
        <v>0</v>
      </c>
      <c r="K78" s="76">
        <f>'A7-CFlow'!J22+'A7-CFlow'!J23-NERF!K71-NERF!K72-NERF!K74</f>
        <v>0</v>
      </c>
      <c r="L78" s="76">
        <f>'A7-CFlow'!K22+'A7-CFlow'!K23-NERF!L71-NERF!L72-NERF!L74</f>
        <v>0</v>
      </c>
      <c r="M78" s="76">
        <f>'A7-CFlow'!L22+'A7-CFlow'!L23-NERF!M71-NERF!M72-NERF!M74</f>
        <v>0</v>
      </c>
    </row>
    <row r="79" spans="1:13" x14ac:dyDescent="0.2">
      <c r="D79" s="13"/>
      <c r="E79" s="13"/>
      <c r="F79" s="13"/>
      <c r="G79" s="13"/>
      <c r="H79" s="13"/>
      <c r="I79" s="13"/>
      <c r="J79" s="13"/>
      <c r="K79" s="13"/>
      <c r="L79" s="13"/>
      <c r="M79" s="13"/>
    </row>
    <row r="80" spans="1:13" x14ac:dyDescent="0.2">
      <c r="A80" s="2" t="s">
        <v>1428</v>
      </c>
      <c r="D80" s="76" t="e">
        <f>D58+'A7-CFlow'!C46</f>
        <v>#REF!</v>
      </c>
      <c r="E80" s="76" t="e">
        <f>E58+'A7-CFlow'!D46</f>
        <v>#REF!</v>
      </c>
      <c r="F80" s="76" t="e">
        <f>F58+'A7-CFlow'!E46</f>
        <v>#REF!</v>
      </c>
      <c r="G80" s="76" t="e">
        <f>G58+'A7-CFlow'!F46</f>
        <v>#REF!</v>
      </c>
      <c r="H80" s="76" t="e">
        <f>H58+'A7-CFlow'!G46</f>
        <v>#REF!</v>
      </c>
      <c r="I80" s="76" t="e">
        <f>I58+'A7-CFlow'!H46</f>
        <v>#REF!</v>
      </c>
      <c r="J80" s="76" t="e">
        <f>J58+'A7-CFlow'!I46</f>
        <v>#REF!</v>
      </c>
      <c r="K80" s="76" t="e">
        <f>K58+'A7-CFlow'!J46</f>
        <v>#REF!</v>
      </c>
      <c r="L80" s="76" t="e">
        <f>L58+'A7-CFlow'!K46</f>
        <v>#REF!</v>
      </c>
      <c r="M80" s="76" t="e">
        <f>M58+'A7-CFlow'!L46</f>
        <v>#REF!</v>
      </c>
    </row>
    <row r="81" spans="1:13" x14ac:dyDescent="0.2">
      <c r="D81" s="13"/>
      <c r="E81" s="13"/>
      <c r="F81" s="13"/>
      <c r="G81" s="13"/>
      <c r="H81" s="13"/>
      <c r="I81" s="13"/>
      <c r="J81" s="13"/>
      <c r="K81" s="13"/>
      <c r="L81" s="13"/>
      <c r="M81" s="13"/>
    </row>
    <row r="82" spans="1:13" x14ac:dyDescent="0.2">
      <c r="A82" s="2" t="s">
        <v>1430</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customSheetViews>
    <customSheetView guid="{F50C5479-5CC4-4FD7-8319-543D29E829F0}" fitToPage="1" hiddenColumns="1" state="hidden">
      <pane xSplit="2" ySplit="5" topLeftCell="C33" activePane="bottomRight" state="frozen"/>
      <selection pane="bottomRight" sqref="A1:M1"/>
      <pageMargins left="0.35433070866141736" right="0.23622047244094491" top="0.78740157480314965" bottom="0.59055118110236227" header="0.51181102362204722" footer="0.39370078740157483"/>
      <printOptions horizontalCentered="1"/>
      <pageSetup paperSize="9" scale="73" orientation="portrait" r:id="rId1"/>
      <headerFooter alignWithMargins="0"/>
    </customSheetView>
  </customSheetViews>
  <mergeCells count="5">
    <mergeCell ref="A1:M1"/>
    <mergeCell ref="A3:A5"/>
    <mergeCell ref="B3:B4"/>
    <mergeCell ref="G3:I3"/>
    <mergeCell ref="K3:M3"/>
  </mergeCells>
  <phoneticPr fontId="2" type="noConversion"/>
  <printOptions horizontalCentered="1"/>
  <pageMargins left="0.35433070866141736" right="0.23622047244094491" top="0.78740157480314965" bottom="0.59055118110236227" header="0.51181102362204722" footer="0.39370078740157483"/>
  <pageSetup paperSize="9" scale="73" orientation="portrait"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45"/>
  </sheetPr>
  <dimension ref="A1:H37"/>
  <sheetViews>
    <sheetView zoomScaleNormal="100"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1179" t="s">
        <v>1823</v>
      </c>
    </row>
    <row r="2" spans="1:8" s="130" customFormat="1" ht="22.5" x14ac:dyDescent="0.2">
      <c r="A2" s="131" t="s">
        <v>1706</v>
      </c>
      <c r="B2" s="2872" t="str">
        <f>'A4-FinPerf RE'!A4</f>
        <v>Revenue By Source</v>
      </c>
      <c r="C2" s="2873"/>
      <c r="D2" s="2872" t="str">
        <f>'A4-FinPerf RE'!A24</f>
        <v>Expenditure By Type</v>
      </c>
      <c r="E2" s="2873"/>
      <c r="F2" s="131" t="s">
        <v>1655</v>
      </c>
      <c r="G2" s="131" t="s">
        <v>1451</v>
      </c>
      <c r="H2" s="131" t="s">
        <v>1452</v>
      </c>
    </row>
    <row r="3" spans="1:8" s="130" customFormat="1" x14ac:dyDescent="0.2">
      <c r="A3" s="133"/>
      <c r="B3" s="131" t="s">
        <v>1254</v>
      </c>
      <c r="C3" s="135" t="s">
        <v>1453</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Property rates, penalties &amp; collection charges</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'A7-CFlow'!A9</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'A7-CFlow'!A10</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'A7-CFlow'!A11</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'A7-CFlow'!A12</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'A7-CFlow'!A13</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'A7-CFlow'!A14</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'A7-CFlow'!A15</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'A7-CFlow'!A16</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'A7-CFlow'!A19</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'A7-CFlow'!A20</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'A7-CFlow'!A21</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'A7-CFlow'!A22</f>
        <v>Decrease (Increase) in non-current debtors</v>
      </c>
    </row>
    <row r="20" spans="1:7" x14ac:dyDescent="0.2">
      <c r="B20" s="2" t="str">
        <f>'A4-FinPerf RE'!A20</f>
        <v>Other revenue</v>
      </c>
      <c r="C20" s="2" t="str">
        <f>'SA1'!A33</f>
        <v>Other revenue</v>
      </c>
      <c r="E20" s="2" t="str">
        <f>'SA1'!A83</f>
        <v>Water Bulk Purchases</v>
      </c>
      <c r="F20" s="2" t="str">
        <f>'A6-FinPos'!A23</f>
        <v>Other non-current assets</v>
      </c>
      <c r="G20" s="2" t="str">
        <f>'A7-CFlow'!A23</f>
        <v>Decrease (increase) other non-current receivables</v>
      </c>
    </row>
    <row r="21" spans="1:7" x14ac:dyDescent="0.2">
      <c r="C21" s="2" t="e">
        <f>'SA1'!#REF!</f>
        <v>#REF!</v>
      </c>
      <c r="D21" s="2" t="str">
        <f>'A4-FinPerf RE'!A31</f>
        <v>Other materials</v>
      </c>
      <c r="F21" s="3" t="str">
        <f>'A6-FinPos'!A27</f>
        <v>LIABILITIES</v>
      </c>
    </row>
    <row r="22" spans="1:7" x14ac:dyDescent="0.2">
      <c r="C22" s="2">
        <f>'SA1'!A44</f>
        <v>0</v>
      </c>
      <c r="D22" s="2" t="str">
        <f>'A4-FinPerf RE'!A32</f>
        <v>Contracted services</v>
      </c>
      <c r="E22" s="2" t="str">
        <f>'SA1'!A119</f>
        <v>Electricity</v>
      </c>
      <c r="F22" s="132" t="str">
        <f>'A6-FinPos'!A28</f>
        <v>Current liabilities</v>
      </c>
      <c r="G22" s="2" t="str">
        <f>'A7-CFlow'!A24</f>
        <v>Decrease (increase) in non-current investments</v>
      </c>
    </row>
    <row r="23" spans="1:7" x14ac:dyDescent="0.2">
      <c r="B23" s="2" t="str">
        <f>'A4-FinPerf RE'!A21</f>
        <v>Gains on disposal of PPE</v>
      </c>
      <c r="E23" s="2" t="str">
        <f>'SA1'!A120</f>
        <v>Water</v>
      </c>
      <c r="F23" s="2" t="str">
        <f>'A6-FinPos'!A29</f>
        <v>Bank overdraft</v>
      </c>
      <c r="G23" s="132" t="str">
        <f>'A7-CFlow'!A25</f>
        <v>Payments</v>
      </c>
    </row>
    <row r="24" spans="1:7" x14ac:dyDescent="0.2">
      <c r="B24" s="2" t="str">
        <f>'A4-FinPerf RE'!A39</f>
        <v>Transfers recognised - capital</v>
      </c>
      <c r="E24" s="2" t="str">
        <f>'SA1'!A121</f>
        <v>Sanitation</v>
      </c>
      <c r="F24" s="2" t="str">
        <f>'A6-FinPos'!A30</f>
        <v>Borrowing</v>
      </c>
      <c r="G24" s="1" t="str">
        <f>'A7-CFlow'!A26</f>
        <v>Capital assets</v>
      </c>
    </row>
    <row r="25" spans="1:7" x14ac:dyDescent="0.2">
      <c r="B25" s="2" t="str">
        <f>'A4-FinPerf RE'!A40</f>
        <v>Contributions recognised - capital</v>
      </c>
      <c r="E25" s="2" t="str">
        <f>'SA1'!A122</f>
        <v>Other</v>
      </c>
      <c r="F25" s="2" t="str">
        <f>'A6-FinPos'!A31</f>
        <v>Consumer deposits</v>
      </c>
      <c r="G25" s="3" t="str">
        <f>'A7-CFlow'!A29</f>
        <v>CASH FLOWS FROM FINANCING ACTIVITIES</v>
      </c>
    </row>
    <row r="26" spans="1:7" x14ac:dyDescent="0.2">
      <c r="B26" s="2" t="str">
        <f>'A4-FinPerf RE'!A41</f>
        <v>Contributed assets</v>
      </c>
      <c r="D26" s="2" t="str">
        <f>'A4-FinPerf RE'!A33</f>
        <v>Transfers and grants</v>
      </c>
      <c r="F26" s="2" t="str">
        <f>'A6-FinPos'!A32</f>
        <v>Trade and other payables</v>
      </c>
      <c r="G26" s="132" t="str">
        <f>'A7-CFlow'!A30</f>
        <v>Receipts</v>
      </c>
    </row>
    <row r="27" spans="1:7" x14ac:dyDescent="0.2">
      <c r="B27" s="2" t="str">
        <f>'A4-FinPerf RE'!A43</f>
        <v>Taxation</v>
      </c>
      <c r="D27" s="2" t="str">
        <f>'A4-FinPerf RE'!A34</f>
        <v>Other expenditure</v>
      </c>
      <c r="E27" s="2" t="str">
        <f>'SA1'!A126</f>
        <v>Collection costs</v>
      </c>
      <c r="F27" s="2" t="e">
        <f>'A6-FinPos'!#REF!</f>
        <v>#REF!</v>
      </c>
      <c r="G27" s="2" t="str">
        <f>'A7-CFlow'!A31</f>
        <v>Short term loans</v>
      </c>
    </row>
    <row r="28" spans="1:7" x14ac:dyDescent="0.2">
      <c r="B28" s="2" t="str">
        <f>'A4-FinPerf RE'!A45</f>
        <v>Attributable to minorities</v>
      </c>
      <c r="E28" s="2" t="str">
        <f>'SA1'!A127</f>
        <v>Contributions to 'other' provisions</v>
      </c>
      <c r="F28" s="2" t="str">
        <f>'A6-FinPos'!A33</f>
        <v>Provisions</v>
      </c>
      <c r="G28" s="2" t="str">
        <f>'A7-CFlow'!A32</f>
        <v>Borrowing long term/refinancing</v>
      </c>
    </row>
    <row r="29" spans="1:7" x14ac:dyDescent="0.2">
      <c r="E29" s="2" t="str">
        <f>'SA1'!A128</f>
        <v>Consultant fees</v>
      </c>
      <c r="F29" s="132" t="str">
        <f>'A6-FinPos'!A36</f>
        <v>Non current liabilities</v>
      </c>
      <c r="G29" s="2" t="str">
        <f>'A7-CFlow'!A33</f>
        <v>Increase (decrease) in consumer deposits</v>
      </c>
    </row>
    <row r="30" spans="1:7" x14ac:dyDescent="0.2">
      <c r="E30" s="2" t="str">
        <f>'SA1'!A129</f>
        <v>Audit fees</v>
      </c>
      <c r="F30" s="2" t="str">
        <f>'A6-FinPos'!A37</f>
        <v>Borrowing</v>
      </c>
      <c r="G30" s="132" t="str">
        <f>'A7-CFlow'!A34</f>
        <v>Payments</v>
      </c>
    </row>
    <row r="31" spans="1:7" x14ac:dyDescent="0.2">
      <c r="E31" s="2" t="str">
        <f>'SA1'!A130</f>
        <v>General expenses</v>
      </c>
      <c r="F31" s="2" t="str">
        <f>'A6-FinPos'!A38</f>
        <v>Provisions</v>
      </c>
      <c r="G31" s="2" t="str">
        <f>'A7-CFlow'!A35</f>
        <v>Repayment of borrowing</v>
      </c>
    </row>
    <row r="32" spans="1:7" x14ac:dyDescent="0.2">
      <c r="D32" s="2" t="str">
        <f>'A4-FinPerf RE'!A35</f>
        <v>Loss on disposal of PPE</v>
      </c>
      <c r="F32" s="3" t="str">
        <f>'A6-FinPos'!A39</f>
        <v>Total non current liabilities</v>
      </c>
      <c r="G32" s="132" t="str">
        <f>'A7-CFlow'!A39</f>
        <v>Cash/cash equivalents at the year begin:</v>
      </c>
    </row>
    <row r="33" spans="6:7" x14ac:dyDescent="0.2">
      <c r="F33" s="3" t="str">
        <f>'A6-FinPos'!A42</f>
        <v>NET ASSETS</v>
      </c>
      <c r="G33" s="132" t="str">
        <f>'A7-CFlow'!A40</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customSheetViews>
    <customSheetView guid="{F50C5479-5CC4-4FD7-8319-543D29E829F0}" state="hidden">
      <pane xSplit="1" ySplit="3" topLeftCell="B4" activePane="bottomRight" state="frozen"/>
      <selection pane="bottomRight"/>
      <pageMargins left="0.75" right="0.75" top="1" bottom="1" header="0.5" footer="0.5"/>
      <pageSetup orientation="portrait" r:id="rId1"/>
      <headerFooter alignWithMargins="0"/>
    </customSheetView>
  </customSheetViews>
  <mergeCells count="2">
    <mergeCell ref="B2:C2"/>
    <mergeCell ref="D2:E2"/>
  </mergeCells>
  <phoneticPr fontId="2" type="noConversion"/>
  <pageMargins left="0.75" right="0.75" top="1" bottom="1" header="0.5" footer="0.5"/>
  <pageSetup orientation="portrait"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0"/>
    <pageSetUpPr fitToPage="1"/>
  </sheetPr>
  <dimension ref="A1:L79"/>
  <sheetViews>
    <sheetView zoomScaleNormal="100" workbookViewId="0"/>
  </sheetViews>
  <sheetFormatPr defaultRowHeight="12.75" x14ac:dyDescent="0.2"/>
  <sheetData>
    <row r="1" spans="1:12" x14ac:dyDescent="0.2">
      <c r="A1" s="1179" t="s">
        <v>1822</v>
      </c>
    </row>
    <row r="2" spans="1:12" x14ac:dyDescent="0.2">
      <c r="A2" s="2874" t="s">
        <v>1711</v>
      </c>
      <c r="B2" s="2875"/>
      <c r="C2" s="2875"/>
      <c r="D2" s="2875"/>
      <c r="E2" s="2875"/>
      <c r="F2" s="2875"/>
      <c r="G2" s="2875"/>
      <c r="H2" s="2875"/>
      <c r="I2" s="2875"/>
      <c r="J2" s="2876"/>
      <c r="K2" s="2"/>
      <c r="L2" s="2"/>
    </row>
    <row r="3" spans="1:12" x14ac:dyDescent="0.2">
      <c r="A3" s="41" t="s">
        <v>1659</v>
      </c>
      <c r="B3" s="49"/>
      <c r="C3" s="49"/>
      <c r="D3" s="49"/>
      <c r="E3" s="42"/>
      <c r="F3" s="42"/>
      <c r="G3" s="42"/>
      <c r="H3" s="42"/>
      <c r="I3" s="42"/>
      <c r="J3" s="43"/>
      <c r="K3" s="2"/>
      <c r="L3" s="2"/>
    </row>
    <row r="4" spans="1:12" x14ac:dyDescent="0.2">
      <c r="A4" s="44" t="s">
        <v>672</v>
      </c>
      <c r="B4" s="50"/>
      <c r="C4" s="50"/>
      <c r="D4" s="50"/>
      <c r="E4" s="45"/>
      <c r="F4" s="45"/>
      <c r="G4" s="45"/>
      <c r="H4" s="45"/>
      <c r="I4" s="45"/>
      <c r="J4" s="46"/>
      <c r="K4" s="2"/>
      <c r="L4" s="2"/>
    </row>
    <row r="5" spans="1:12" x14ac:dyDescent="0.2">
      <c r="A5" s="44" t="s">
        <v>1713</v>
      </c>
      <c r="B5" s="50"/>
      <c r="C5" s="50"/>
      <c r="D5" s="50"/>
      <c r="E5" s="45"/>
      <c r="F5" s="45"/>
      <c r="G5" s="45"/>
      <c r="H5" s="45"/>
      <c r="I5" s="45"/>
      <c r="J5" s="46"/>
      <c r="K5" s="2"/>
      <c r="L5" s="2"/>
    </row>
    <row r="6" spans="1:12" x14ac:dyDescent="0.2">
      <c r="A6" s="44" t="s">
        <v>1712</v>
      </c>
      <c r="B6" s="50"/>
      <c r="C6" s="50"/>
      <c r="D6" s="50"/>
      <c r="E6" s="45"/>
      <c r="F6" s="45"/>
      <c r="G6" s="45"/>
      <c r="H6" s="45"/>
      <c r="I6" s="45"/>
      <c r="J6" s="46"/>
      <c r="K6" s="2"/>
      <c r="L6" s="2"/>
    </row>
    <row r="7" spans="1:12" x14ac:dyDescent="0.2">
      <c r="A7" s="44" t="s">
        <v>1667</v>
      </c>
      <c r="B7" s="50"/>
      <c r="C7" s="50"/>
      <c r="D7" s="50"/>
      <c r="E7" s="45"/>
      <c r="F7" s="45"/>
      <c r="G7" s="45"/>
      <c r="H7" s="45"/>
      <c r="I7" s="45"/>
      <c r="J7" s="46"/>
      <c r="K7" s="2"/>
      <c r="L7" s="2"/>
    </row>
    <row r="8" spans="1:12" x14ac:dyDescent="0.2">
      <c r="A8" s="2874" t="s">
        <v>1660</v>
      </c>
      <c r="B8" s="2875"/>
      <c r="C8" s="2875"/>
      <c r="D8" s="2875"/>
      <c r="E8" s="2875"/>
      <c r="F8" s="2875"/>
      <c r="G8" s="2875"/>
      <c r="H8" s="2875"/>
      <c r="I8" s="2875"/>
      <c r="J8" s="2876"/>
      <c r="K8" s="2"/>
      <c r="L8" s="2"/>
    </row>
    <row r="9" spans="1:12" x14ac:dyDescent="0.2">
      <c r="A9" s="47" t="s">
        <v>1661</v>
      </c>
      <c r="B9" s="40" t="s">
        <v>1678</v>
      </c>
      <c r="C9" s="40" t="s">
        <v>1679</v>
      </c>
      <c r="D9" s="40" t="s">
        <v>1680</v>
      </c>
      <c r="E9" s="2877" t="s">
        <v>1662</v>
      </c>
      <c r="F9" s="2878"/>
      <c r="G9" s="2878"/>
      <c r="H9" s="2879"/>
      <c r="I9" s="48" t="s">
        <v>1663</v>
      </c>
      <c r="J9" s="48" t="s">
        <v>1516</v>
      </c>
      <c r="K9" s="48" t="s">
        <v>1703</v>
      </c>
      <c r="L9" s="48" t="s">
        <v>1704</v>
      </c>
    </row>
    <row r="10" spans="1:12" x14ac:dyDescent="0.2">
      <c r="A10" s="21">
        <v>3</v>
      </c>
      <c r="B10" s="21" t="s">
        <v>1664</v>
      </c>
      <c r="C10" s="21" t="s">
        <v>1664</v>
      </c>
      <c r="D10" s="21" t="s">
        <v>1664</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1664</v>
      </c>
      <c r="C11" s="4" t="s">
        <v>1664</v>
      </c>
      <c r="D11" s="4" t="s">
        <v>1664</v>
      </c>
      <c r="E11" s="10" t="str">
        <f t="shared" si="0"/>
        <v>Fully completed</v>
      </c>
      <c r="F11" s="6"/>
      <c r="G11" s="6"/>
      <c r="H11" s="18"/>
      <c r="I11" s="52">
        <v>0.06</v>
      </c>
      <c r="J11" s="64">
        <f t="shared" si="1"/>
        <v>5.9</v>
      </c>
      <c r="K11" s="4">
        <v>3</v>
      </c>
      <c r="L11" s="60">
        <f t="shared" si="2"/>
        <v>18</v>
      </c>
    </row>
    <row r="12" spans="1:12" x14ac:dyDescent="0.2">
      <c r="A12" s="4">
        <v>3</v>
      </c>
      <c r="B12" s="4" t="s">
        <v>1664</v>
      </c>
      <c r="C12" s="4" t="s">
        <v>1664</v>
      </c>
      <c r="D12" s="4" t="s">
        <v>1664</v>
      </c>
      <c r="E12" s="10" t="str">
        <f t="shared" si="0"/>
        <v>Fully completed</v>
      </c>
      <c r="F12" s="6"/>
      <c r="G12" s="6"/>
      <c r="H12" s="18"/>
      <c r="I12" s="52">
        <v>0.03</v>
      </c>
      <c r="J12" s="64">
        <f t="shared" si="1"/>
        <v>2.95</v>
      </c>
      <c r="K12" s="4">
        <v>3</v>
      </c>
      <c r="L12" s="60">
        <f t="shared" si="2"/>
        <v>9</v>
      </c>
    </row>
    <row r="13" spans="1:12" x14ac:dyDescent="0.2">
      <c r="A13" s="4">
        <v>3</v>
      </c>
      <c r="B13" s="4" t="s">
        <v>1664</v>
      </c>
      <c r="C13" s="4" t="s">
        <v>1664</v>
      </c>
      <c r="D13" s="4" t="s">
        <v>1664</v>
      </c>
      <c r="E13" s="10" t="str">
        <f t="shared" si="0"/>
        <v>Fully completed</v>
      </c>
      <c r="F13" s="6"/>
      <c r="G13" s="6"/>
      <c r="H13" s="18"/>
      <c r="I13" s="52">
        <v>0.04</v>
      </c>
      <c r="J13" s="64">
        <f t="shared" si="1"/>
        <v>3.93</v>
      </c>
      <c r="K13" s="4">
        <v>3</v>
      </c>
      <c r="L13" s="60">
        <f t="shared" si="2"/>
        <v>12</v>
      </c>
    </row>
    <row r="14" spans="1:12" x14ac:dyDescent="0.2">
      <c r="A14" s="4">
        <v>3</v>
      </c>
      <c r="B14" s="4" t="s">
        <v>1664</v>
      </c>
      <c r="C14" s="4" t="s">
        <v>1664</v>
      </c>
      <c r="D14" s="4" t="s">
        <v>1664</v>
      </c>
      <c r="E14" s="10" t="str">
        <f t="shared" si="0"/>
        <v>Fully completed</v>
      </c>
      <c r="F14" s="6"/>
      <c r="G14" s="6"/>
      <c r="H14" s="18"/>
      <c r="I14" s="52">
        <v>0.06</v>
      </c>
      <c r="J14" s="64">
        <f t="shared" si="1"/>
        <v>5.9</v>
      </c>
      <c r="K14" s="4">
        <v>3</v>
      </c>
      <c r="L14" s="60">
        <f t="shared" si="2"/>
        <v>18</v>
      </c>
    </row>
    <row r="15" spans="1:12" x14ac:dyDescent="0.2">
      <c r="A15" s="4">
        <v>3</v>
      </c>
      <c r="B15" s="4" t="s">
        <v>1664</v>
      </c>
      <c r="C15" s="4" t="s">
        <v>1664</v>
      </c>
      <c r="D15" s="4" t="s">
        <v>1664</v>
      </c>
      <c r="E15" s="10" t="str">
        <f t="shared" si="0"/>
        <v>Fully completed</v>
      </c>
      <c r="F15" s="6"/>
      <c r="G15" s="6"/>
      <c r="H15" s="18"/>
      <c r="I15" s="52">
        <v>0.03</v>
      </c>
      <c r="J15" s="64">
        <f t="shared" si="1"/>
        <v>2.95</v>
      </c>
      <c r="K15" s="4">
        <v>3</v>
      </c>
      <c r="L15" s="60">
        <f t="shared" si="2"/>
        <v>9</v>
      </c>
    </row>
    <row r="16" spans="1:12" x14ac:dyDescent="0.2">
      <c r="A16" s="4">
        <v>3</v>
      </c>
      <c r="B16" s="4" t="s">
        <v>1664</v>
      </c>
      <c r="C16" s="4" t="s">
        <v>1664</v>
      </c>
      <c r="D16" s="4" t="s">
        <v>1664</v>
      </c>
      <c r="E16" s="10" t="str">
        <f t="shared" si="0"/>
        <v>Fully completed</v>
      </c>
      <c r="F16" s="6"/>
      <c r="G16" s="6"/>
      <c r="H16" s="18"/>
      <c r="I16" s="52">
        <v>0.04</v>
      </c>
      <c r="J16" s="64">
        <f t="shared" si="1"/>
        <v>3.93</v>
      </c>
      <c r="K16" s="4">
        <v>3</v>
      </c>
      <c r="L16" s="60">
        <f t="shared" si="2"/>
        <v>12</v>
      </c>
    </row>
    <row r="17" spans="1:12" x14ac:dyDescent="0.2">
      <c r="A17" s="4">
        <v>2</v>
      </c>
      <c r="B17" s="4" t="s">
        <v>1664</v>
      </c>
      <c r="C17" s="4" t="s">
        <v>1664</v>
      </c>
      <c r="D17" s="4" t="s">
        <v>1664</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1665</v>
      </c>
      <c r="C18" s="4" t="s">
        <v>1665</v>
      </c>
      <c r="D18" s="24" t="s">
        <v>1664</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1665</v>
      </c>
      <c r="C19" s="25" t="s">
        <v>1664</v>
      </c>
      <c r="D19" s="25" t="s">
        <v>1664</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1666</v>
      </c>
      <c r="I20" s="7">
        <f>SUM(I10:I19)</f>
        <v>0.35</v>
      </c>
      <c r="J20" s="62">
        <f>SUM(J10:J19)</f>
        <v>30.8</v>
      </c>
      <c r="K20" s="12"/>
      <c r="L20" s="60"/>
    </row>
    <row r="21" spans="1:12" x14ac:dyDescent="0.2">
      <c r="A21" s="21">
        <v>3</v>
      </c>
      <c r="B21" s="21" t="s">
        <v>1664</v>
      </c>
      <c r="C21" s="23" t="s">
        <v>1664</v>
      </c>
      <c r="D21" s="23" t="s">
        <v>1664</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1665</v>
      </c>
      <c r="C22" s="4" t="s">
        <v>1665</v>
      </c>
      <c r="D22" s="24" t="s">
        <v>1664</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1664</v>
      </c>
      <c r="C23" s="4" t="s">
        <v>1664</v>
      </c>
      <c r="D23" s="24" t="s">
        <v>1664</v>
      </c>
      <c r="E23" s="10" t="str">
        <f t="shared" si="3"/>
        <v>Fully completed</v>
      </c>
      <c r="F23" s="6"/>
      <c r="G23" s="6"/>
      <c r="H23" s="18"/>
      <c r="I23" s="52">
        <v>0.02</v>
      </c>
      <c r="J23" s="64">
        <f t="shared" si="4"/>
        <v>1.97</v>
      </c>
      <c r="K23" s="4">
        <v>3</v>
      </c>
      <c r="L23" s="60">
        <f t="shared" si="5"/>
        <v>6</v>
      </c>
    </row>
    <row r="24" spans="1:12" x14ac:dyDescent="0.2">
      <c r="A24" s="4">
        <v>3</v>
      </c>
      <c r="B24" s="4" t="s">
        <v>1665</v>
      </c>
      <c r="C24" s="24" t="s">
        <v>1664</v>
      </c>
      <c r="D24" s="24" t="s">
        <v>1664</v>
      </c>
      <c r="E24" s="10" t="str">
        <f t="shared" si="3"/>
        <v>Fully completed</v>
      </c>
      <c r="F24" s="6"/>
      <c r="G24" s="6"/>
      <c r="H24" s="18"/>
      <c r="I24" s="52">
        <v>0.01</v>
      </c>
      <c r="J24" s="64">
        <f t="shared" si="4"/>
        <v>0.98</v>
      </c>
      <c r="K24" s="4">
        <v>3</v>
      </c>
      <c r="L24" s="60">
        <f t="shared" si="5"/>
        <v>3</v>
      </c>
    </row>
    <row r="25" spans="1:12" x14ac:dyDescent="0.2">
      <c r="A25" s="4">
        <v>3</v>
      </c>
      <c r="B25" s="4" t="s">
        <v>1665</v>
      </c>
      <c r="C25" s="24" t="s">
        <v>1664</v>
      </c>
      <c r="D25" s="24" t="s">
        <v>1664</v>
      </c>
      <c r="E25" s="10" t="str">
        <f t="shared" si="3"/>
        <v>Fully completed</v>
      </c>
      <c r="F25" s="6"/>
      <c r="G25" s="6"/>
      <c r="H25" s="18"/>
      <c r="I25" s="52">
        <v>0.01</v>
      </c>
      <c r="J25" s="64">
        <f t="shared" si="4"/>
        <v>0.98</v>
      </c>
      <c r="K25" s="4">
        <v>3</v>
      </c>
      <c r="L25" s="60">
        <f t="shared" si="5"/>
        <v>3</v>
      </c>
    </row>
    <row r="26" spans="1:12" x14ac:dyDescent="0.2">
      <c r="A26" s="4">
        <v>3</v>
      </c>
      <c r="B26" s="4" t="s">
        <v>1665</v>
      </c>
      <c r="C26" s="24" t="s">
        <v>1664</v>
      </c>
      <c r="D26" s="24" t="s">
        <v>1664</v>
      </c>
      <c r="E26" s="10" t="str">
        <f t="shared" si="3"/>
        <v>Fully completed</v>
      </c>
      <c r="F26" s="6"/>
      <c r="G26" s="6"/>
      <c r="H26" s="18"/>
      <c r="I26" s="52">
        <v>0.01</v>
      </c>
      <c r="J26" s="64">
        <f t="shared" si="4"/>
        <v>0.98</v>
      </c>
      <c r="K26" s="4">
        <v>3</v>
      </c>
      <c r="L26" s="60">
        <f t="shared" si="5"/>
        <v>3</v>
      </c>
    </row>
    <row r="27" spans="1:12" x14ac:dyDescent="0.2">
      <c r="A27" s="4">
        <v>0</v>
      </c>
      <c r="B27" s="4" t="s">
        <v>1665</v>
      </c>
      <c r="C27" s="24" t="s">
        <v>1664</v>
      </c>
      <c r="D27" s="24" t="s">
        <v>1664</v>
      </c>
      <c r="E27" s="10" t="str">
        <f t="shared" si="3"/>
        <v>Not presented</v>
      </c>
      <c r="F27" s="6"/>
      <c r="G27" s="6"/>
      <c r="H27" s="18"/>
      <c r="I27" s="52">
        <v>0.01</v>
      </c>
      <c r="J27" s="64">
        <f t="shared" si="4"/>
        <v>0</v>
      </c>
      <c r="K27" s="4">
        <v>3</v>
      </c>
      <c r="L27" s="60">
        <f t="shared" si="5"/>
        <v>3</v>
      </c>
    </row>
    <row r="28" spans="1:12" x14ac:dyDescent="0.2">
      <c r="A28" s="4">
        <v>2</v>
      </c>
      <c r="B28" s="4" t="s">
        <v>1664</v>
      </c>
      <c r="C28" s="4" t="s">
        <v>1664</v>
      </c>
      <c r="D28" s="4" t="s">
        <v>1664</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1665</v>
      </c>
      <c r="C29" s="24" t="s">
        <v>1665</v>
      </c>
      <c r="D29" s="4" t="s">
        <v>1664</v>
      </c>
      <c r="E29" s="10" t="str">
        <f t="shared" si="3"/>
        <v>Fully completed</v>
      </c>
      <c r="F29" s="6"/>
      <c r="G29" s="6"/>
      <c r="H29" s="18"/>
      <c r="I29" s="52">
        <v>0.01</v>
      </c>
      <c r="J29" s="64">
        <f t="shared" si="4"/>
        <v>0.98</v>
      </c>
      <c r="K29" s="4">
        <v>3</v>
      </c>
      <c r="L29" s="60">
        <f t="shared" si="5"/>
        <v>3</v>
      </c>
    </row>
    <row r="30" spans="1:12" x14ac:dyDescent="0.2">
      <c r="A30" s="4">
        <v>2</v>
      </c>
      <c r="B30" s="4" t="s">
        <v>1664</v>
      </c>
      <c r="C30" s="4" t="s">
        <v>1664</v>
      </c>
      <c r="D30" s="4" t="s">
        <v>1664</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1664</v>
      </c>
      <c r="C31" s="4" t="s">
        <v>1664</v>
      </c>
      <c r="D31" s="4" t="s">
        <v>1664</v>
      </c>
      <c r="E31" s="10" t="str">
        <f t="shared" si="3"/>
        <v>Fully completed</v>
      </c>
      <c r="F31" s="6"/>
      <c r="G31" s="6"/>
      <c r="H31" s="18"/>
      <c r="I31" s="52">
        <v>0.01</v>
      </c>
      <c r="J31" s="64">
        <f t="shared" si="4"/>
        <v>0.98</v>
      </c>
      <c r="K31" s="4">
        <v>3</v>
      </c>
      <c r="L31" s="60">
        <f t="shared" si="5"/>
        <v>3</v>
      </c>
    </row>
    <row r="32" spans="1:12" x14ac:dyDescent="0.2">
      <c r="A32" s="4">
        <v>3</v>
      </c>
      <c r="B32" s="4" t="s">
        <v>1664</v>
      </c>
      <c r="C32" s="4" t="s">
        <v>1664</v>
      </c>
      <c r="D32" s="4" t="s">
        <v>1664</v>
      </c>
      <c r="E32" s="10" t="str">
        <f t="shared" si="3"/>
        <v>Fully completed</v>
      </c>
      <c r="F32" s="6"/>
      <c r="G32" s="6"/>
      <c r="H32" s="18"/>
      <c r="I32" s="52">
        <v>0.01</v>
      </c>
      <c r="J32" s="64">
        <f t="shared" si="4"/>
        <v>0.98</v>
      </c>
      <c r="K32" s="4">
        <v>3</v>
      </c>
      <c r="L32" s="60">
        <f t="shared" si="5"/>
        <v>3</v>
      </c>
    </row>
    <row r="33" spans="1:12" x14ac:dyDescent="0.2">
      <c r="A33" s="4">
        <v>3</v>
      </c>
      <c r="B33" s="4" t="s">
        <v>1664</v>
      </c>
      <c r="C33" s="4" t="s">
        <v>1664</v>
      </c>
      <c r="D33" s="4" t="s">
        <v>1664</v>
      </c>
      <c r="E33" s="10" t="str">
        <f t="shared" si="3"/>
        <v>Fully completed</v>
      </c>
      <c r="F33" s="6"/>
      <c r="G33" s="6"/>
      <c r="H33" s="18"/>
      <c r="I33" s="52">
        <v>0.01</v>
      </c>
      <c r="J33" s="64">
        <f t="shared" si="4"/>
        <v>0.98</v>
      </c>
      <c r="K33" s="4">
        <v>3</v>
      </c>
      <c r="L33" s="60">
        <f t="shared" si="5"/>
        <v>3</v>
      </c>
    </row>
    <row r="34" spans="1:12" x14ac:dyDescent="0.2">
      <c r="A34" s="4">
        <v>0</v>
      </c>
      <c r="B34" s="4" t="s">
        <v>1664</v>
      </c>
      <c r="C34" s="4" t="s">
        <v>1664</v>
      </c>
      <c r="D34" s="4" t="s">
        <v>1664</v>
      </c>
      <c r="E34" s="10" t="str">
        <f t="shared" si="3"/>
        <v>Not presented</v>
      </c>
      <c r="F34" s="6"/>
      <c r="G34" s="6"/>
      <c r="H34" s="18"/>
      <c r="I34" s="52">
        <v>0.02</v>
      </c>
      <c r="J34" s="64">
        <f t="shared" si="4"/>
        <v>0</v>
      </c>
      <c r="K34" s="4">
        <v>3</v>
      </c>
      <c r="L34" s="60">
        <f t="shared" si="5"/>
        <v>6</v>
      </c>
    </row>
    <row r="35" spans="1:12" x14ac:dyDescent="0.2">
      <c r="A35" s="4">
        <v>0</v>
      </c>
      <c r="B35" s="4" t="s">
        <v>1665</v>
      </c>
      <c r="C35" s="24" t="s">
        <v>1664</v>
      </c>
      <c r="D35" s="24" t="s">
        <v>1664</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1665</v>
      </c>
      <c r="C37" s="24" t="s">
        <v>1664</v>
      </c>
      <c r="D37" s="24" t="s">
        <v>1664</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1664</v>
      </c>
      <c r="C38" s="4" t="s">
        <v>1664</v>
      </c>
      <c r="D38" s="4" t="s">
        <v>1664</v>
      </c>
      <c r="E38" s="10" t="str">
        <f t="shared" si="6"/>
        <v>Fully completed</v>
      </c>
      <c r="F38" s="6"/>
      <c r="G38" s="6"/>
      <c r="H38" s="18"/>
      <c r="I38" s="52">
        <v>0.01</v>
      </c>
      <c r="J38" s="64">
        <f t="shared" si="7"/>
        <v>0.98</v>
      </c>
      <c r="K38" s="4">
        <v>3</v>
      </c>
      <c r="L38" s="60">
        <f t="shared" si="8"/>
        <v>3</v>
      </c>
    </row>
    <row r="39" spans="1:12" x14ac:dyDescent="0.2">
      <c r="A39" s="4">
        <v>2</v>
      </c>
      <c r="B39" s="4" t="s">
        <v>1664</v>
      </c>
      <c r="C39" s="4" t="s">
        <v>1664</v>
      </c>
      <c r="D39" s="4" t="s">
        <v>1664</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1665</v>
      </c>
      <c r="C40" s="24" t="s">
        <v>1664</v>
      </c>
      <c r="D40" s="24" t="s">
        <v>1664</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1664</v>
      </c>
      <c r="C41" s="4" t="s">
        <v>1664</v>
      </c>
      <c r="D41" s="4" t="s">
        <v>1664</v>
      </c>
      <c r="E41" s="10" t="str">
        <f t="shared" si="6"/>
        <v>Fully completed</v>
      </c>
      <c r="F41" s="6"/>
      <c r="G41" s="6"/>
      <c r="H41" s="18"/>
      <c r="I41" s="52">
        <v>0.01</v>
      </c>
      <c r="J41" s="64">
        <f t="shared" si="7"/>
        <v>0.98</v>
      </c>
      <c r="K41" s="4">
        <v>3</v>
      </c>
      <c r="L41" s="60">
        <f t="shared" si="8"/>
        <v>3</v>
      </c>
    </row>
    <row r="42" spans="1:12" x14ac:dyDescent="0.2">
      <c r="A42" s="4">
        <v>3</v>
      </c>
      <c r="B42" s="4" t="s">
        <v>1664</v>
      </c>
      <c r="C42" s="4" t="s">
        <v>1664</v>
      </c>
      <c r="D42" s="4" t="s">
        <v>1664</v>
      </c>
      <c r="E42" s="10" t="str">
        <f t="shared" si="6"/>
        <v>Fully completed</v>
      </c>
      <c r="F42" s="6"/>
      <c r="G42" s="6"/>
      <c r="H42" s="18"/>
      <c r="I42" s="52">
        <v>0.01</v>
      </c>
      <c r="J42" s="64">
        <f t="shared" si="7"/>
        <v>0.98</v>
      </c>
      <c r="K42" s="4">
        <v>3</v>
      </c>
      <c r="L42" s="60">
        <f t="shared" si="8"/>
        <v>3</v>
      </c>
    </row>
    <row r="43" spans="1:12" x14ac:dyDescent="0.2">
      <c r="A43" s="4">
        <v>3</v>
      </c>
      <c r="B43" s="4" t="s">
        <v>1664</v>
      </c>
      <c r="C43" s="4" t="s">
        <v>1664</v>
      </c>
      <c r="D43" s="4" t="s">
        <v>1664</v>
      </c>
      <c r="E43" s="10" t="str">
        <f t="shared" si="6"/>
        <v>Fully completed</v>
      </c>
      <c r="F43" s="6"/>
      <c r="G43" s="6"/>
      <c r="H43" s="18"/>
      <c r="I43" s="52">
        <v>0.01</v>
      </c>
      <c r="J43" s="64">
        <f t="shared" si="7"/>
        <v>0.98</v>
      </c>
      <c r="K43" s="4">
        <v>3</v>
      </c>
      <c r="L43" s="60">
        <f t="shared" si="8"/>
        <v>3</v>
      </c>
    </row>
    <row r="44" spans="1:12" x14ac:dyDescent="0.2">
      <c r="A44" s="4">
        <v>3</v>
      </c>
      <c r="B44" s="4" t="s">
        <v>1664</v>
      </c>
      <c r="C44" s="4" t="s">
        <v>1664</v>
      </c>
      <c r="D44" s="4" t="s">
        <v>1664</v>
      </c>
      <c r="E44" s="10" t="str">
        <f t="shared" si="6"/>
        <v>Fully completed</v>
      </c>
      <c r="F44" s="6"/>
      <c r="G44" s="6"/>
      <c r="H44" s="18"/>
      <c r="I44" s="52">
        <v>0.01</v>
      </c>
      <c r="J44" s="64">
        <f t="shared" si="7"/>
        <v>0.98</v>
      </c>
      <c r="K44" s="4">
        <v>3</v>
      </c>
      <c r="L44" s="60">
        <f t="shared" si="8"/>
        <v>3</v>
      </c>
    </row>
    <row r="45" spans="1:12" x14ac:dyDescent="0.2">
      <c r="A45" s="4">
        <v>1</v>
      </c>
      <c r="B45" s="4" t="s">
        <v>1664</v>
      </c>
      <c r="C45" s="4" t="s">
        <v>1664</v>
      </c>
      <c r="D45" s="4" t="s">
        <v>1664</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1664</v>
      </c>
      <c r="C46" s="4" t="s">
        <v>1664</v>
      </c>
      <c r="D46" s="4" t="s">
        <v>1664</v>
      </c>
      <c r="E46" s="10" t="str">
        <f t="shared" si="6"/>
        <v>Not presented</v>
      </c>
      <c r="F46" s="6"/>
      <c r="G46" s="6"/>
      <c r="H46" s="18"/>
      <c r="I46" s="52">
        <v>0.01</v>
      </c>
      <c r="J46" s="64">
        <f t="shared" si="7"/>
        <v>0</v>
      </c>
      <c r="K46" s="4">
        <v>3</v>
      </c>
      <c r="L46" s="60">
        <f t="shared" si="8"/>
        <v>3</v>
      </c>
    </row>
    <row r="47" spans="1:12" x14ac:dyDescent="0.2">
      <c r="A47" s="4">
        <v>0</v>
      </c>
      <c r="B47" s="4" t="s">
        <v>1665</v>
      </c>
      <c r="C47" s="24" t="s">
        <v>1664</v>
      </c>
      <c r="D47" s="24" t="s">
        <v>1664</v>
      </c>
      <c r="E47" s="10" t="str">
        <f t="shared" si="6"/>
        <v>Not presented</v>
      </c>
      <c r="F47" s="6"/>
      <c r="G47" s="6"/>
      <c r="H47" s="18"/>
      <c r="I47" s="52">
        <v>0.01</v>
      </c>
      <c r="J47" s="64">
        <f t="shared" si="7"/>
        <v>0</v>
      </c>
      <c r="K47" s="4">
        <v>3</v>
      </c>
      <c r="L47" s="60">
        <f t="shared" si="8"/>
        <v>3</v>
      </c>
    </row>
    <row r="48" spans="1:12" x14ac:dyDescent="0.2">
      <c r="A48" s="4">
        <v>0</v>
      </c>
      <c r="B48" s="4" t="s">
        <v>1665</v>
      </c>
      <c r="C48" s="24" t="s">
        <v>1664</v>
      </c>
      <c r="D48" s="24" t="s">
        <v>1664</v>
      </c>
      <c r="E48" s="10" t="str">
        <f t="shared" si="6"/>
        <v>Not presented</v>
      </c>
      <c r="F48" s="6"/>
      <c r="G48" s="6"/>
      <c r="H48" s="18"/>
      <c r="I48" s="52">
        <v>0.01</v>
      </c>
      <c r="J48" s="64">
        <f t="shared" si="7"/>
        <v>0</v>
      </c>
      <c r="K48" s="4">
        <v>3</v>
      </c>
      <c r="L48" s="60">
        <f t="shared" si="8"/>
        <v>3</v>
      </c>
    </row>
    <row r="49" spans="1:12" x14ac:dyDescent="0.2">
      <c r="A49" s="4">
        <v>0</v>
      </c>
      <c r="B49" s="4" t="s">
        <v>1665</v>
      </c>
      <c r="C49" s="24" t="s">
        <v>1664</v>
      </c>
      <c r="D49" s="24" t="s">
        <v>1664</v>
      </c>
      <c r="E49" s="10" t="str">
        <f t="shared" si="6"/>
        <v>Not presented</v>
      </c>
      <c r="F49" s="6"/>
      <c r="G49" s="6"/>
      <c r="H49" s="18"/>
      <c r="I49" s="52">
        <v>0.02</v>
      </c>
      <c r="J49" s="64">
        <f t="shared" si="7"/>
        <v>0</v>
      </c>
      <c r="K49" s="4">
        <v>3</v>
      </c>
      <c r="L49" s="60">
        <f t="shared" si="8"/>
        <v>6</v>
      </c>
    </row>
    <row r="50" spans="1:12" x14ac:dyDescent="0.2">
      <c r="A50" s="4">
        <v>2</v>
      </c>
      <c r="B50" s="4" t="s">
        <v>1665</v>
      </c>
      <c r="C50" s="24" t="s">
        <v>1664</v>
      </c>
      <c r="D50" s="24" t="s">
        <v>1664</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1665</v>
      </c>
      <c r="C51" s="24" t="s">
        <v>1664</v>
      </c>
      <c r="D51" s="24" t="s">
        <v>1664</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1664</v>
      </c>
      <c r="C52" s="4" t="s">
        <v>1664</v>
      </c>
      <c r="D52" s="4" t="s">
        <v>1664</v>
      </c>
      <c r="E52" s="10" t="str">
        <f t="shared" si="6"/>
        <v>Not presented</v>
      </c>
      <c r="F52" s="6"/>
      <c r="G52" s="6"/>
      <c r="H52" s="18"/>
      <c r="I52" s="52">
        <v>0.01</v>
      </c>
      <c r="J52" s="64">
        <f t="shared" si="7"/>
        <v>0</v>
      </c>
      <c r="K52" s="4">
        <v>3</v>
      </c>
      <c r="L52" s="60">
        <f t="shared" si="8"/>
        <v>3</v>
      </c>
    </row>
    <row r="53" spans="1:12" x14ac:dyDescent="0.2">
      <c r="A53" s="22">
        <v>0</v>
      </c>
      <c r="B53" s="22" t="s">
        <v>1665</v>
      </c>
      <c r="C53" s="25" t="s">
        <v>1664</v>
      </c>
      <c r="D53" s="25" t="s">
        <v>1664</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1666</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1664</v>
      </c>
      <c r="C56" s="21" t="s">
        <v>1664</v>
      </c>
      <c r="D56" s="21" t="s">
        <v>1664</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1664</v>
      </c>
      <c r="C57" s="4" t="s">
        <v>1664</v>
      </c>
      <c r="D57" s="4" t="s">
        <v>1664</v>
      </c>
      <c r="E57" s="10" t="str">
        <f t="shared" si="9"/>
        <v>Fully completed</v>
      </c>
      <c r="F57" s="6"/>
      <c r="G57" s="6"/>
      <c r="H57" s="18"/>
      <c r="I57" s="52">
        <v>0.01</v>
      </c>
      <c r="J57" s="4">
        <f t="shared" si="10"/>
        <v>0.98</v>
      </c>
      <c r="K57" s="4">
        <v>3</v>
      </c>
      <c r="L57" s="60">
        <f t="shared" si="11"/>
        <v>3</v>
      </c>
    </row>
    <row r="58" spans="1:12" x14ac:dyDescent="0.2">
      <c r="A58" s="4">
        <v>3</v>
      </c>
      <c r="B58" s="4" t="s">
        <v>1664</v>
      </c>
      <c r="C58" s="4" t="s">
        <v>1664</v>
      </c>
      <c r="D58" s="4" t="s">
        <v>1664</v>
      </c>
      <c r="E58" s="10" t="str">
        <f t="shared" si="9"/>
        <v>Fully completed</v>
      </c>
      <c r="F58" s="6"/>
      <c r="G58" s="6"/>
      <c r="H58" s="18"/>
      <c r="I58" s="52">
        <v>0.01</v>
      </c>
      <c r="J58" s="4">
        <f t="shared" si="10"/>
        <v>0.98</v>
      </c>
      <c r="K58" s="4">
        <v>3</v>
      </c>
      <c r="L58" s="60">
        <f t="shared" si="11"/>
        <v>3</v>
      </c>
    </row>
    <row r="59" spans="1:12" x14ac:dyDescent="0.2">
      <c r="A59" s="4">
        <v>3</v>
      </c>
      <c r="B59" s="4" t="s">
        <v>1665</v>
      </c>
      <c r="C59" s="4" t="s">
        <v>1665</v>
      </c>
      <c r="D59" s="4" t="s">
        <v>1665</v>
      </c>
      <c r="E59" s="10" t="str">
        <f t="shared" si="9"/>
        <v>Fully completed</v>
      </c>
      <c r="F59" s="6"/>
      <c r="G59" s="6"/>
      <c r="H59" s="18"/>
      <c r="I59" s="56">
        <v>5.0000000000000001E-3</v>
      </c>
      <c r="J59" s="4">
        <f t="shared" si="10"/>
        <v>0.49</v>
      </c>
      <c r="K59" s="4">
        <v>3</v>
      </c>
      <c r="L59" s="60">
        <f t="shared" si="11"/>
        <v>2</v>
      </c>
    </row>
    <row r="60" spans="1:12" x14ac:dyDescent="0.2">
      <c r="A60" s="4">
        <v>3</v>
      </c>
      <c r="B60" s="4" t="s">
        <v>1664</v>
      </c>
      <c r="C60" s="4" t="s">
        <v>1664</v>
      </c>
      <c r="D60" s="4" t="s">
        <v>1664</v>
      </c>
      <c r="E60" s="10" t="str">
        <f t="shared" si="9"/>
        <v>Fully completed</v>
      </c>
      <c r="F60" s="6"/>
      <c r="G60" s="6"/>
      <c r="H60" s="18"/>
      <c r="I60" s="52">
        <v>0.01</v>
      </c>
      <c r="J60" s="4">
        <f t="shared" si="10"/>
        <v>0.98</v>
      </c>
      <c r="K60" s="4">
        <v>3</v>
      </c>
      <c r="L60" s="60">
        <f t="shared" si="11"/>
        <v>3</v>
      </c>
    </row>
    <row r="61" spans="1:12" x14ac:dyDescent="0.2">
      <c r="A61" s="4">
        <v>3</v>
      </c>
      <c r="B61" s="4" t="s">
        <v>1665</v>
      </c>
      <c r="C61" s="4" t="s">
        <v>1665</v>
      </c>
      <c r="D61" s="4" t="s">
        <v>1665</v>
      </c>
      <c r="E61" s="10" t="str">
        <f t="shared" si="9"/>
        <v>Fully completed</v>
      </c>
      <c r="F61" s="6"/>
      <c r="G61" s="6"/>
      <c r="H61" s="18"/>
      <c r="I61" s="56">
        <v>5.0000000000000001E-3</v>
      </c>
      <c r="J61" s="4">
        <f t="shared" si="10"/>
        <v>0.49</v>
      </c>
      <c r="K61" s="4">
        <v>3</v>
      </c>
      <c r="L61" s="60">
        <f t="shared" si="11"/>
        <v>2</v>
      </c>
    </row>
    <row r="62" spans="1:12" x14ac:dyDescent="0.2">
      <c r="A62" s="4">
        <v>3</v>
      </c>
      <c r="B62" s="4" t="s">
        <v>1664</v>
      </c>
      <c r="C62" s="4" t="s">
        <v>1664</v>
      </c>
      <c r="D62" s="4" t="s">
        <v>1664</v>
      </c>
      <c r="E62" s="10" t="str">
        <f t="shared" si="9"/>
        <v>Fully completed</v>
      </c>
      <c r="F62" s="6"/>
      <c r="G62" s="6"/>
      <c r="H62" s="18"/>
      <c r="I62" s="52">
        <v>0.01</v>
      </c>
      <c r="J62" s="4">
        <f t="shared" si="10"/>
        <v>0.98</v>
      </c>
      <c r="K62" s="4">
        <v>3</v>
      </c>
      <c r="L62" s="60">
        <f t="shared" si="11"/>
        <v>3</v>
      </c>
    </row>
    <row r="63" spans="1:12" x14ac:dyDescent="0.2">
      <c r="A63" s="4">
        <v>3</v>
      </c>
      <c r="B63" s="4" t="s">
        <v>1665</v>
      </c>
      <c r="C63" s="4" t="s">
        <v>1665</v>
      </c>
      <c r="D63" s="4" t="s">
        <v>1665</v>
      </c>
      <c r="E63" s="10" t="str">
        <f t="shared" si="9"/>
        <v>Fully completed</v>
      </c>
      <c r="F63" s="6"/>
      <c r="G63" s="6"/>
      <c r="H63" s="18"/>
      <c r="I63" s="56">
        <v>5.0000000000000001E-3</v>
      </c>
      <c r="J63" s="4">
        <f t="shared" si="10"/>
        <v>0.49</v>
      </c>
      <c r="K63" s="4">
        <v>3</v>
      </c>
      <c r="L63" s="60">
        <f t="shared" si="11"/>
        <v>2</v>
      </c>
    </row>
    <row r="64" spans="1:12" x14ac:dyDescent="0.2">
      <c r="A64" s="4">
        <v>3</v>
      </c>
      <c r="B64" s="4" t="s">
        <v>1665</v>
      </c>
      <c r="C64" s="4" t="s">
        <v>1665</v>
      </c>
      <c r="D64" s="4" t="s">
        <v>1665</v>
      </c>
      <c r="E64" s="10" t="str">
        <f t="shared" si="9"/>
        <v>Fully completed</v>
      </c>
      <c r="F64" s="6"/>
      <c r="G64" s="6"/>
      <c r="H64" s="18"/>
      <c r="I64" s="56">
        <v>5.0000000000000001E-3</v>
      </c>
      <c r="J64" s="4">
        <f t="shared" si="10"/>
        <v>0.49</v>
      </c>
      <c r="K64" s="4">
        <v>3</v>
      </c>
      <c r="L64" s="60">
        <f t="shared" si="11"/>
        <v>2</v>
      </c>
    </row>
    <row r="65" spans="1:12" x14ac:dyDescent="0.2">
      <c r="A65" s="4">
        <v>3</v>
      </c>
      <c r="B65" s="4" t="s">
        <v>1664</v>
      </c>
      <c r="C65" s="4" t="s">
        <v>1664</v>
      </c>
      <c r="D65" s="4" t="s">
        <v>1664</v>
      </c>
      <c r="E65" s="10" t="str">
        <f t="shared" si="9"/>
        <v>Fully completed</v>
      </c>
      <c r="F65" s="6"/>
      <c r="G65" s="6"/>
      <c r="H65" s="18"/>
      <c r="I65" s="52">
        <v>0.01</v>
      </c>
      <c r="J65" s="4">
        <f t="shared" si="10"/>
        <v>0.98</v>
      </c>
      <c r="K65" s="4">
        <v>3</v>
      </c>
      <c r="L65" s="60">
        <f t="shared" si="11"/>
        <v>3</v>
      </c>
    </row>
    <row r="66" spans="1:12" x14ac:dyDescent="0.2">
      <c r="A66" s="4">
        <v>3</v>
      </c>
      <c r="B66" s="4" t="s">
        <v>1665</v>
      </c>
      <c r="C66" s="4" t="s">
        <v>1665</v>
      </c>
      <c r="D66" s="4" t="s">
        <v>1665</v>
      </c>
      <c r="E66" s="10" t="str">
        <f t="shared" si="9"/>
        <v>Fully completed</v>
      </c>
      <c r="F66" s="6"/>
      <c r="G66" s="6"/>
      <c r="H66" s="18"/>
      <c r="I66" s="56">
        <v>5.0000000000000001E-3</v>
      </c>
      <c r="J66" s="4">
        <f t="shared" si="10"/>
        <v>0.49</v>
      </c>
      <c r="K66" s="4">
        <v>3</v>
      </c>
      <c r="L66" s="60">
        <f t="shared" si="11"/>
        <v>2</v>
      </c>
    </row>
    <row r="67" spans="1:12" x14ac:dyDescent="0.2">
      <c r="A67" s="4">
        <v>3</v>
      </c>
      <c r="B67" s="4" t="s">
        <v>1665</v>
      </c>
      <c r="C67" s="4" t="s">
        <v>1665</v>
      </c>
      <c r="D67" s="4" t="s">
        <v>1665</v>
      </c>
      <c r="E67" s="10" t="str">
        <f t="shared" si="9"/>
        <v>Fully completed</v>
      </c>
      <c r="F67" s="6"/>
      <c r="G67" s="6"/>
      <c r="H67" s="18"/>
      <c r="I67" s="56">
        <v>5.0000000000000001E-3</v>
      </c>
      <c r="J67" s="4">
        <f t="shared" si="10"/>
        <v>0.49</v>
      </c>
      <c r="K67" s="4">
        <v>3</v>
      </c>
      <c r="L67" s="60">
        <f t="shared" si="11"/>
        <v>2</v>
      </c>
    </row>
    <row r="68" spans="1:12" x14ac:dyDescent="0.2">
      <c r="A68" s="4">
        <v>3</v>
      </c>
      <c r="B68" s="4" t="s">
        <v>1665</v>
      </c>
      <c r="C68" s="4" t="s">
        <v>1665</v>
      </c>
      <c r="D68" s="4" t="s">
        <v>1665</v>
      </c>
      <c r="E68" s="10" t="str">
        <f t="shared" si="9"/>
        <v>Fully completed</v>
      </c>
      <c r="F68" s="6"/>
      <c r="G68" s="6"/>
      <c r="H68" s="18"/>
      <c r="I68" s="56">
        <v>5.0000000000000001E-3</v>
      </c>
      <c r="J68" s="4">
        <f t="shared" si="10"/>
        <v>0.49</v>
      </c>
      <c r="K68" s="4">
        <v>3</v>
      </c>
      <c r="L68" s="60">
        <f t="shared" si="11"/>
        <v>2</v>
      </c>
    </row>
    <row r="69" spans="1:12" x14ac:dyDescent="0.2">
      <c r="A69" s="4">
        <v>3</v>
      </c>
      <c r="B69" s="4" t="s">
        <v>1665</v>
      </c>
      <c r="C69" s="4" t="s">
        <v>1665</v>
      </c>
      <c r="D69" s="4" t="s">
        <v>1665</v>
      </c>
      <c r="E69" s="10" t="str">
        <f t="shared" si="9"/>
        <v>Fully completed</v>
      </c>
      <c r="F69" s="6"/>
      <c r="G69" s="6"/>
      <c r="H69" s="18"/>
      <c r="I69" s="56">
        <v>5.0000000000000001E-3</v>
      </c>
      <c r="J69" s="4">
        <f t="shared" si="10"/>
        <v>0.49</v>
      </c>
      <c r="K69" s="4">
        <v>3</v>
      </c>
      <c r="L69" s="60">
        <f t="shared" si="11"/>
        <v>2</v>
      </c>
    </row>
    <row r="70" spans="1:12" x14ac:dyDescent="0.2">
      <c r="A70" s="4">
        <v>3</v>
      </c>
      <c r="B70" s="4" t="s">
        <v>1665</v>
      </c>
      <c r="C70" s="4" t="s">
        <v>1665</v>
      </c>
      <c r="D70" s="4" t="s">
        <v>1665</v>
      </c>
      <c r="E70" s="10" t="str">
        <f t="shared" si="9"/>
        <v>Fully completed</v>
      </c>
      <c r="F70" s="6"/>
      <c r="G70" s="6"/>
      <c r="H70" s="18"/>
      <c r="I70" s="56">
        <v>5.0000000000000001E-3</v>
      </c>
      <c r="J70" s="4">
        <f t="shared" si="10"/>
        <v>0.49</v>
      </c>
      <c r="K70" s="4">
        <v>3</v>
      </c>
      <c r="L70" s="60">
        <f t="shared" si="11"/>
        <v>2</v>
      </c>
    </row>
    <row r="71" spans="1:12" x14ac:dyDescent="0.2">
      <c r="A71" s="4">
        <v>3</v>
      </c>
      <c r="B71" s="4" t="s">
        <v>1664</v>
      </c>
      <c r="C71" s="4" t="s">
        <v>1664</v>
      </c>
      <c r="D71" s="4" t="s">
        <v>1664</v>
      </c>
      <c r="E71" s="10" t="str">
        <f t="shared" si="9"/>
        <v>Fully completed</v>
      </c>
      <c r="F71" s="6"/>
      <c r="G71" s="6"/>
      <c r="H71" s="18"/>
      <c r="I71" s="52">
        <v>0.01</v>
      </c>
      <c r="J71" s="4">
        <f t="shared" si="10"/>
        <v>0.98</v>
      </c>
      <c r="K71" s="4">
        <v>3</v>
      </c>
      <c r="L71" s="60">
        <f t="shared" si="11"/>
        <v>3</v>
      </c>
    </row>
    <row r="72" spans="1:12" x14ac:dyDescent="0.2">
      <c r="A72" s="4">
        <v>1</v>
      </c>
      <c r="B72" s="4" t="s">
        <v>1664</v>
      </c>
      <c r="C72" s="4" t="s">
        <v>1664</v>
      </c>
      <c r="D72" s="4" t="s">
        <v>1664</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1664</v>
      </c>
      <c r="C73" s="4" t="s">
        <v>1664</v>
      </c>
      <c r="D73" s="4" t="s">
        <v>1664</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1665</v>
      </c>
      <c r="C74" s="4" t="s">
        <v>1665</v>
      </c>
      <c r="D74" s="4" t="s">
        <v>1665</v>
      </c>
      <c r="E74" s="10" t="str">
        <f t="shared" si="9"/>
        <v>Fully completed</v>
      </c>
      <c r="F74" s="6"/>
      <c r="G74" s="6"/>
      <c r="H74" s="18"/>
      <c r="I74" s="56">
        <v>5.0000000000000001E-3</v>
      </c>
      <c r="J74" s="4">
        <f t="shared" si="10"/>
        <v>0.49</v>
      </c>
      <c r="K74" s="4">
        <v>3</v>
      </c>
      <c r="L74" s="60">
        <f t="shared" si="11"/>
        <v>2</v>
      </c>
    </row>
    <row r="75" spans="1:12" x14ac:dyDescent="0.2">
      <c r="A75" s="22">
        <v>3</v>
      </c>
      <c r="B75" s="22" t="s">
        <v>1664</v>
      </c>
      <c r="C75" s="22" t="s">
        <v>1664</v>
      </c>
      <c r="D75" s="22" t="s">
        <v>1664</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1518</v>
      </c>
      <c r="I76" s="67">
        <f>SUM(I56:I75)</f>
        <v>0.15000000000000002</v>
      </c>
      <c r="J76" s="62">
        <f>SUM(J56:J75)</f>
        <v>13.980000000000004</v>
      </c>
      <c r="K76" s="12"/>
      <c r="L76" s="63">
        <f>SUM(L10:L75)</f>
        <v>278</v>
      </c>
    </row>
    <row r="77" spans="1:12" x14ac:dyDescent="0.2">
      <c r="A77" s="9"/>
      <c r="B77" s="9"/>
      <c r="C77" s="9"/>
      <c r="D77" s="9"/>
      <c r="E77" s="2"/>
      <c r="F77" s="2"/>
      <c r="G77" s="2"/>
      <c r="H77" s="51" t="s">
        <v>1515</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1517</v>
      </c>
      <c r="I79" s="2"/>
      <c r="J79" s="2"/>
      <c r="K79" s="2"/>
      <c r="L79" s="2"/>
    </row>
  </sheetData>
  <sheetProtection selectLockedCells="1"/>
  <customSheetViews>
    <customSheetView guid="{F50C5479-5CC4-4FD7-8319-543D29E829F0}" fitToPage="1" state="hidden">
      <pageMargins left="0.43307086614173229" right="0.15748031496062992" top="0.51181102362204722" bottom="0.55118110236220474" header="0.51181102362204722" footer="0.51181102362204722"/>
      <printOptions horizontalCentered="1"/>
      <pageSetup paperSize="9" scale="78" orientation="portrait" r:id="rId1"/>
      <headerFooter alignWithMargins="0"/>
    </customSheetView>
  </customSheetViews>
  <mergeCells count="3">
    <mergeCell ref="A8:J8"/>
    <mergeCell ref="E9:H9"/>
    <mergeCell ref="A2:J2"/>
  </mergeCells>
  <phoneticPr fontId="2" type="noConversion"/>
  <printOptions horizontalCentered="1"/>
  <pageMargins left="0.43307086614173229" right="0.15748031496062992" top="0.51181102362204722" bottom="0.55118110236220474" header="0.51181102362204722" footer="0.51181102362204722"/>
  <pageSetup paperSize="9" scale="78"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pageSetUpPr fitToPage="1"/>
  </sheetPr>
  <dimension ref="A1:O68"/>
  <sheetViews>
    <sheetView showGridLines="0" zoomScaleNormal="100" workbookViewId="0">
      <pane xSplit="1" ySplit="3" topLeftCell="B4" activePane="bottomRight" state="frozen"/>
      <selection pane="topRight"/>
      <selection pane="bottomLeft"/>
      <selection pane="bottomRight" activeCell="B2" sqref="B2"/>
    </sheetView>
  </sheetViews>
  <sheetFormatPr defaultRowHeight="12.75" x14ac:dyDescent="0.25"/>
  <cols>
    <col min="1" max="1" width="30.7109375" style="149" customWidth="1"/>
    <col min="2" max="11" width="9" style="149" customWidth="1"/>
    <col min="12" max="14" width="7.7109375" style="149" customWidth="1"/>
    <col min="15" max="16384" width="9.140625" style="149"/>
  </cols>
  <sheetData>
    <row r="1" spans="1:12" ht="13.5" customHeight="1" x14ac:dyDescent="0.25">
      <c r="A1" s="2768" t="str">
        <f>muni&amp;" - "&amp;Approve1</f>
        <v>MP315 Thembisile Hani - Table A1 Budget Summary</v>
      </c>
      <c r="B1" s="2769"/>
      <c r="C1" s="2769"/>
      <c r="D1" s="148"/>
      <c r="E1" s="148"/>
      <c r="F1" s="148"/>
      <c r="G1" s="148"/>
      <c r="H1" s="148"/>
      <c r="I1" s="148"/>
      <c r="J1" s="148"/>
      <c r="K1" s="148"/>
    </row>
    <row r="2" spans="1:12" ht="28.5" customHeight="1" x14ac:dyDescent="0.25">
      <c r="A2" s="997" t="str">
        <f>desc</f>
        <v>Description</v>
      </c>
      <c r="B2" s="144" t="str">
        <f>head1b</f>
        <v>2011/12</v>
      </c>
      <c r="C2" s="150" t="str">
        <f>head1A</f>
        <v>2012/13</v>
      </c>
      <c r="D2" s="146" t="str">
        <f>Head1</f>
        <v>2013/14</v>
      </c>
      <c r="E2" s="2766" t="str">
        <f>Head2</f>
        <v>Current Year 2014/15</v>
      </c>
      <c r="F2" s="2767"/>
      <c r="G2" s="2767"/>
      <c r="H2" s="2767"/>
      <c r="I2" s="2763" t="str">
        <f>Head3</f>
        <v>2015/16 Medium Term Revenue &amp; Expenditure Framework</v>
      </c>
      <c r="J2" s="2764"/>
      <c r="K2" s="2765"/>
    </row>
    <row r="3" spans="1:12" ht="25.5" x14ac:dyDescent="0.25">
      <c r="A3" s="1156" t="s">
        <v>34</v>
      </c>
      <c r="B3" s="299" t="str">
        <f>Head5</f>
        <v>Audited Outcome</v>
      </c>
      <c r="C3" s="389" t="str">
        <f>Head5</f>
        <v>Audited Outcome</v>
      </c>
      <c r="D3" s="390" t="str">
        <f>Head5</f>
        <v>Audited Outcome</v>
      </c>
      <c r="E3" s="299" t="str">
        <f>Head6</f>
        <v>Original Budget</v>
      </c>
      <c r="F3" s="389" t="str">
        <f>Head7</f>
        <v>Adjusted Budget</v>
      </c>
      <c r="G3" s="390" t="str">
        <f>Head8</f>
        <v>Full Year Forecast</v>
      </c>
      <c r="H3" s="388" t="str">
        <f>Head5b</f>
        <v>Pre-audit outcome</v>
      </c>
      <c r="I3" s="299" t="str">
        <f>Head9</f>
        <v>Budget Year 2015/16</v>
      </c>
      <c r="J3" s="389" t="str">
        <f>Head10</f>
        <v>Budget Year +1 2016/17</v>
      </c>
      <c r="K3" s="390" t="str">
        <f>Head11</f>
        <v>Budget Year +2 2017/18</v>
      </c>
    </row>
    <row r="4" spans="1:12" ht="11.25" customHeight="1" x14ac:dyDescent="0.25">
      <c r="A4" s="914" t="s">
        <v>1357</v>
      </c>
      <c r="B4" s="158"/>
      <c r="C4" s="159"/>
      <c r="D4" s="160"/>
      <c r="E4" s="158"/>
      <c r="F4" s="159"/>
      <c r="G4" s="160"/>
      <c r="H4" s="161"/>
      <c r="I4" s="158"/>
      <c r="J4" s="159"/>
      <c r="K4" s="160"/>
    </row>
    <row r="5" spans="1:12" ht="11.25" customHeight="1" x14ac:dyDescent="0.25">
      <c r="A5" s="895" t="s">
        <v>539</v>
      </c>
      <c r="B5" s="1126">
        <f>'A4-FinPerf RE'!C5+'A4-FinPerf RE'!C6</f>
        <v>6535187</v>
      </c>
      <c r="C5" s="207">
        <f>'A4-FinPerf RE'!D5+'A4-FinPerf RE'!D6</f>
        <v>4791658</v>
      </c>
      <c r="D5" s="557">
        <f>'A4-FinPerf RE'!E5+'A4-FinPerf RE'!E6</f>
        <v>13186995</v>
      </c>
      <c r="E5" s="211">
        <f>'A4-FinPerf RE'!F5+'A4-FinPerf RE'!F6</f>
        <v>6656524.6680000005</v>
      </c>
      <c r="F5" s="207">
        <f>'A4-FinPerf RE'!G5+'A4-FinPerf RE'!G6</f>
        <v>22086220.908</v>
      </c>
      <c r="G5" s="558">
        <f>'A4-FinPerf RE'!H5+'A4-FinPerf RE'!H6</f>
        <v>22086220.908</v>
      </c>
      <c r="H5" s="210">
        <f>'A4-FinPerf RE'!I5+'A4-FinPerf RE'!I6</f>
        <v>6790342</v>
      </c>
      <c r="I5" s="211">
        <f>'A4-FinPerf RE'!J5+'A4-FinPerf RE'!J6</f>
        <v>57411199.609999999</v>
      </c>
      <c r="J5" s="207">
        <f>'A4-FinPerf RE'!K5+'A4-FinPerf RE'!K6</f>
        <v>60798460.386989996</v>
      </c>
      <c r="K5" s="558">
        <f>'A4-FinPerf RE'!L5+'A4-FinPerf RE'!L6</f>
        <v>64203174.168661438</v>
      </c>
      <c r="L5" s="369"/>
    </row>
    <row r="6" spans="1:12" ht="11.25" customHeight="1" x14ac:dyDescent="0.25">
      <c r="A6" s="895" t="s">
        <v>1597</v>
      </c>
      <c r="B6" s="207">
        <f>SUM('A4-FinPerf RE'!C7:C11)</f>
        <v>39406075</v>
      </c>
      <c r="C6" s="207">
        <f>SUM('A4-FinPerf RE'!D7:D11)</f>
        <v>35705389</v>
      </c>
      <c r="D6" s="557">
        <f>SUM('A4-FinPerf RE'!E7:E11)</f>
        <v>51735491</v>
      </c>
      <c r="E6" s="211">
        <f>SUM('A4-FinPerf RE'!F7:F11)</f>
        <v>44650459.310000002</v>
      </c>
      <c r="F6" s="207">
        <f>SUM('A4-FinPerf RE'!G7:G11)</f>
        <v>53773715.510000005</v>
      </c>
      <c r="G6" s="558">
        <f>SUM('A4-FinPerf RE'!H7:H11)</f>
        <v>53773715.510000005</v>
      </c>
      <c r="H6" s="210">
        <f>SUM('A4-FinPerf RE'!I7:I11)</f>
        <v>32453721</v>
      </c>
      <c r="I6" s="211">
        <f>SUM('A4-FinPerf RE'!J7:J11)</f>
        <v>59265440.490000002</v>
      </c>
      <c r="J6" s="207">
        <f>SUM('A4-FinPerf RE'!K7:K11)</f>
        <v>62762101.478910007</v>
      </c>
      <c r="K6" s="558">
        <f>SUM('A4-FinPerf RE'!L7:L11)</f>
        <v>66276779.161728963</v>
      </c>
    </row>
    <row r="7" spans="1:12" ht="11.25" customHeight="1" x14ac:dyDescent="0.25">
      <c r="A7" s="895" t="s">
        <v>500</v>
      </c>
      <c r="B7" s="207">
        <f>'A4-FinPerf RE'!C13</f>
        <v>5512287</v>
      </c>
      <c r="C7" s="207">
        <f>'A4-FinPerf RE'!D13</f>
        <v>4455732</v>
      </c>
      <c r="D7" s="557">
        <f>'A4-FinPerf RE'!E13</f>
        <v>2636558</v>
      </c>
      <c r="E7" s="211">
        <f>'A4-FinPerf RE'!F13</f>
        <v>500000</v>
      </c>
      <c r="F7" s="207">
        <f>'A4-FinPerf RE'!G13</f>
        <v>1454903.99</v>
      </c>
      <c r="G7" s="558">
        <f>'A4-FinPerf RE'!H13</f>
        <v>1454903.99</v>
      </c>
      <c r="H7" s="210">
        <f>'A4-FinPerf RE'!I13</f>
        <v>2703584</v>
      </c>
      <c r="I7" s="211">
        <f>'A4-FinPerf RE'!J13</f>
        <v>2468986.65</v>
      </c>
      <c r="J7" s="207">
        <f>'A4-FinPerf RE'!K13</f>
        <v>2614656.8623499996</v>
      </c>
      <c r="K7" s="558">
        <f>'A4-FinPerf RE'!L13</f>
        <v>2761077.6466415995</v>
      </c>
    </row>
    <row r="8" spans="1:12" ht="11.25" customHeight="1" x14ac:dyDescent="0.25">
      <c r="A8" s="895" t="s">
        <v>35</v>
      </c>
      <c r="B8" s="207">
        <f>'A4-FinPerf RE'!C19</f>
        <v>312613821</v>
      </c>
      <c r="C8" s="207">
        <f>'A4-FinPerf RE'!D19</f>
        <v>226477000</v>
      </c>
      <c r="D8" s="557">
        <f>'A4-FinPerf RE'!E19</f>
        <v>247290000</v>
      </c>
      <c r="E8" s="211">
        <f>'A4-FinPerf RE'!F19</f>
        <v>280980250</v>
      </c>
      <c r="F8" s="207">
        <f>'A4-FinPerf RE'!G19</f>
        <v>279699497.08999997</v>
      </c>
      <c r="G8" s="558">
        <f>'A4-FinPerf RE'!H19</f>
        <v>279699497.08999997</v>
      </c>
      <c r="H8" s="210">
        <f>'A4-FinPerf RE'!I19</f>
        <v>195304000</v>
      </c>
      <c r="I8" s="211">
        <f>'A4-FinPerf RE'!J19</f>
        <v>309291000</v>
      </c>
      <c r="J8" s="207">
        <f>'A4-FinPerf RE'!K19</f>
        <v>327539169</v>
      </c>
      <c r="K8" s="558">
        <f>'A4-FinPerf RE'!L19</f>
        <v>345881362.46399999</v>
      </c>
    </row>
    <row r="9" spans="1:12" ht="11.25" customHeight="1" x14ac:dyDescent="0.25">
      <c r="A9" s="895" t="s">
        <v>204</v>
      </c>
      <c r="B9" s="207">
        <f>'A4-FinPerf RE'!C12+'A4-FinPerf RE'!C14+'A4-FinPerf RE'!C15+'A4-FinPerf RE'!C16+'A4-FinPerf RE'!C17+'A4-FinPerf RE'!C18+'A4-FinPerf RE'!C20+'A4-FinPerf RE'!C21</f>
        <v>17462373</v>
      </c>
      <c r="C9" s="207">
        <f>'A4-FinPerf RE'!D12+'A4-FinPerf RE'!D14+'A4-FinPerf RE'!D15+'A4-FinPerf RE'!D16+'A4-FinPerf RE'!D17+'A4-FinPerf RE'!D18+'A4-FinPerf RE'!D20+'A4-FinPerf RE'!D21</f>
        <v>102249480</v>
      </c>
      <c r="D9" s="557">
        <f>'A4-FinPerf RE'!E12+'A4-FinPerf RE'!E14+'A4-FinPerf RE'!E15+'A4-FinPerf RE'!E16+'A4-FinPerf RE'!E17+'A4-FinPerf RE'!E18+'A4-FinPerf RE'!E20+'A4-FinPerf RE'!E21</f>
        <v>96764938.469999999</v>
      </c>
      <c r="E9" s="211">
        <f>'A4-FinPerf RE'!F12+'A4-FinPerf RE'!F14+'A4-FinPerf RE'!F15+'A4-FinPerf RE'!F16+'A4-FinPerf RE'!F17+'A4-FinPerf RE'!F18+'A4-FinPerf RE'!F20+'A4-FinPerf RE'!F21</f>
        <v>30153139.010000005</v>
      </c>
      <c r="F9" s="207">
        <f>'A4-FinPerf RE'!G12+'A4-FinPerf RE'!G14+'A4-FinPerf RE'!G15+'A4-FinPerf RE'!G16+'A4-FinPerf RE'!G17+'A4-FinPerf RE'!G18+'A4-FinPerf RE'!G20+'A4-FinPerf RE'!G21</f>
        <v>33215867.18</v>
      </c>
      <c r="G9" s="558">
        <f>'A4-FinPerf RE'!H12+'A4-FinPerf RE'!H14+'A4-FinPerf RE'!H15+'A4-FinPerf RE'!H16+'A4-FinPerf RE'!H17+'A4-FinPerf RE'!H18+'A4-FinPerf RE'!H20+'A4-FinPerf RE'!H21</f>
        <v>33215867.18</v>
      </c>
      <c r="H9" s="210">
        <f>'A4-FinPerf RE'!I12+'A4-FinPerf RE'!I14+'A4-FinPerf RE'!I15+'A4-FinPerf RE'!I16+'A4-FinPerf RE'!I17+'A4-FinPerf RE'!I18+'A4-FinPerf RE'!I20+'A4-FinPerf RE'!I21</f>
        <v>34575127</v>
      </c>
      <c r="I9" s="211">
        <f>'A4-FinPerf RE'!J12+'A4-FinPerf RE'!J14+'A4-FinPerf RE'!J15+'A4-FinPerf RE'!J16+'A4-FinPerf RE'!J17+'A4-FinPerf RE'!J18+'A4-FinPerf RE'!J20+'A4-FinPerf RE'!J21</f>
        <v>60400450.040000007</v>
      </c>
      <c r="J9" s="207">
        <f>'A4-FinPerf RE'!K12+'A4-FinPerf RE'!K14+'A4-FinPerf RE'!K15+'A4-FinPerf RE'!K16+'A4-FinPerf RE'!K17+'A4-FinPerf RE'!K18+'A4-FinPerf RE'!K20+'A4-FinPerf RE'!K21</f>
        <v>63964076.592359997</v>
      </c>
      <c r="K9" s="558">
        <f>'A4-FinPerf RE'!L12+'A4-FinPerf RE'!L14+'A4-FinPerf RE'!L15+'A4-FinPerf RE'!L16+'A4-FinPerf RE'!L17+'A4-FinPerf RE'!L18+'A4-FinPerf RE'!L20+'A4-FinPerf RE'!L21</f>
        <v>67546064.881532162</v>
      </c>
    </row>
    <row r="10" spans="1:12" ht="25.5" customHeight="1" x14ac:dyDescent="0.25">
      <c r="A10" s="297" t="str">
        <f>'A4-FinPerf RE'!A22</f>
        <v>Total Revenue (excluding capital transfers and contributions)</v>
      </c>
      <c r="B10" s="1339">
        <f t="shared" ref="B10:K10" si="0">SUM(B5:B9)</f>
        <v>381529743</v>
      </c>
      <c r="C10" s="1339">
        <f t="shared" si="0"/>
        <v>373679259</v>
      </c>
      <c r="D10" s="1340">
        <f t="shared" si="0"/>
        <v>411613982.47000003</v>
      </c>
      <c r="E10" s="1338">
        <f t="shared" si="0"/>
        <v>362940372.98799998</v>
      </c>
      <c r="F10" s="1339">
        <f t="shared" si="0"/>
        <v>390230204.67799997</v>
      </c>
      <c r="G10" s="1341">
        <f t="shared" si="0"/>
        <v>390230204.67799997</v>
      </c>
      <c r="H10" s="1342">
        <f t="shared" si="0"/>
        <v>271826774</v>
      </c>
      <c r="I10" s="1338">
        <f t="shared" si="0"/>
        <v>488837076.79000002</v>
      </c>
      <c r="J10" s="1339">
        <f t="shared" si="0"/>
        <v>517678464.32061005</v>
      </c>
      <c r="K10" s="1341">
        <f t="shared" si="0"/>
        <v>546668458.32256413</v>
      </c>
    </row>
    <row r="11" spans="1:12" ht="11.25" customHeight="1" x14ac:dyDescent="0.25">
      <c r="A11" s="895" t="s">
        <v>492</v>
      </c>
      <c r="B11" s="207">
        <f>'A4-FinPerf RE'!C25</f>
        <v>65886885</v>
      </c>
      <c r="C11" s="207">
        <f>'A4-FinPerf RE'!D25</f>
        <v>63943926</v>
      </c>
      <c r="D11" s="557">
        <f>'A4-FinPerf RE'!E25</f>
        <v>96797188</v>
      </c>
      <c r="E11" s="211">
        <f>'A4-FinPerf RE'!F25</f>
        <v>101035795</v>
      </c>
      <c r="F11" s="207">
        <f>'A4-FinPerf RE'!G25</f>
        <v>99603079.75</v>
      </c>
      <c r="G11" s="558">
        <f>'A4-FinPerf RE'!H25</f>
        <v>99603079.75</v>
      </c>
      <c r="H11" s="210">
        <f>'A4-FinPerf RE'!I25</f>
        <v>56915963.659999996</v>
      </c>
      <c r="I11" s="211">
        <f>'A4-FinPerf RE'!J25</f>
        <v>107340510.12</v>
      </c>
      <c r="J11" s="207">
        <f>'A4-FinPerf RE'!K25</f>
        <v>113673600.21707998</v>
      </c>
      <c r="K11" s="558">
        <f>'A4-FinPerf RE'!L25</f>
        <v>120039321.82923649</v>
      </c>
    </row>
    <row r="12" spans="1:12" ht="11.25" customHeight="1" x14ac:dyDescent="0.25">
      <c r="A12" s="895" t="s">
        <v>528</v>
      </c>
      <c r="B12" s="207">
        <f>'A4-FinPerf RE'!C26</f>
        <v>0</v>
      </c>
      <c r="C12" s="207">
        <f>'A4-FinPerf RE'!D26</f>
        <v>15884937</v>
      </c>
      <c r="D12" s="557">
        <f>'A4-FinPerf RE'!E26</f>
        <v>17836258</v>
      </c>
      <c r="E12" s="211">
        <f>'A4-FinPerf RE'!F26</f>
        <v>19091720</v>
      </c>
      <c r="F12" s="207">
        <f>'A4-FinPerf RE'!G26</f>
        <v>18354089.079999998</v>
      </c>
      <c r="G12" s="558">
        <f>'A4-FinPerf RE'!H26</f>
        <v>18354089.079999998</v>
      </c>
      <c r="H12" s="210">
        <f>'A4-FinPerf RE'!I26</f>
        <v>10423254</v>
      </c>
      <c r="I12" s="211">
        <f>'A4-FinPerf RE'!J26</f>
        <v>18462499.520000003</v>
      </c>
      <c r="J12" s="207">
        <f>'A4-FinPerf RE'!K26</f>
        <v>19551786.991680004</v>
      </c>
      <c r="K12" s="558">
        <f>'A4-FinPerf RE'!L26</f>
        <v>20646687.063214086</v>
      </c>
    </row>
    <row r="13" spans="1:12" ht="11.25" customHeight="1" x14ac:dyDescent="0.25">
      <c r="A13" s="895" t="s">
        <v>1484</v>
      </c>
      <c r="B13" s="207">
        <f>'A4-FinPerf RE'!C28</f>
        <v>64066096</v>
      </c>
      <c r="C13" s="207">
        <f>'A4-FinPerf RE'!D28</f>
        <v>149019344</v>
      </c>
      <c r="D13" s="557">
        <f>'A4-FinPerf RE'!E28</f>
        <v>130728341</v>
      </c>
      <c r="E13" s="211">
        <f>'A4-FinPerf RE'!F28</f>
        <v>174084397.236</v>
      </c>
      <c r="F13" s="207">
        <f>'A4-FinPerf RE'!G28</f>
        <v>43649999.996000007</v>
      </c>
      <c r="G13" s="558">
        <f>'A4-FinPerf RE'!H28</f>
        <v>43649999.996000007</v>
      </c>
      <c r="H13" s="210">
        <f>'A4-FinPerf RE'!I28</f>
        <v>0</v>
      </c>
      <c r="I13" s="211">
        <f>'A4-FinPerf RE'!J28</f>
        <v>151000100</v>
      </c>
      <c r="J13" s="207">
        <f>'A4-FinPerf RE'!K28</f>
        <v>159909105.90000001</v>
      </c>
      <c r="K13" s="558">
        <f>'A4-FinPerf RE'!L28</f>
        <v>168864015.83040002</v>
      </c>
    </row>
    <row r="14" spans="1:12" ht="11.25" customHeight="1" x14ac:dyDescent="0.25">
      <c r="A14" s="895" t="s">
        <v>1546</v>
      </c>
      <c r="B14" s="207">
        <f>'A4-FinPerf RE'!C29</f>
        <v>0</v>
      </c>
      <c r="C14" s="207">
        <f>'A4-FinPerf RE'!D29</f>
        <v>0</v>
      </c>
      <c r="D14" s="557">
        <f>'A4-FinPerf RE'!E29</f>
        <v>0</v>
      </c>
      <c r="E14" s="211">
        <f>'A4-FinPerf RE'!F29</f>
        <v>0</v>
      </c>
      <c r="F14" s="207">
        <f>'A4-FinPerf RE'!G29</f>
        <v>0</v>
      </c>
      <c r="G14" s="558">
        <f>'A4-FinPerf RE'!H29</f>
        <v>0</v>
      </c>
      <c r="H14" s="210">
        <f>'A4-FinPerf RE'!I29</f>
        <v>0</v>
      </c>
      <c r="I14" s="211">
        <f>'A4-FinPerf RE'!J29</f>
        <v>0</v>
      </c>
      <c r="J14" s="207">
        <f>'A4-FinPerf RE'!K29</f>
        <v>0</v>
      </c>
      <c r="K14" s="558">
        <f>'A4-FinPerf RE'!L29</f>
        <v>0</v>
      </c>
    </row>
    <row r="15" spans="1:12" ht="11.25" customHeight="1" x14ac:dyDescent="0.25">
      <c r="A15" s="895" t="s">
        <v>499</v>
      </c>
      <c r="B15" s="207">
        <f>'A4-FinPerf RE'!C30+'A4-FinPerf RE'!C31</f>
        <v>116035473</v>
      </c>
      <c r="C15" s="207">
        <f>'A4-FinPerf RE'!D30+'A4-FinPerf RE'!D31</f>
        <v>0</v>
      </c>
      <c r="D15" s="557">
        <f>'A4-FinPerf RE'!E30+'A4-FinPerf RE'!E31</f>
        <v>110950867</v>
      </c>
      <c r="E15" s="211">
        <f>'A4-FinPerf RE'!F30+'A4-FinPerf RE'!F31</f>
        <v>102550000</v>
      </c>
      <c r="F15" s="207">
        <f>'A4-FinPerf RE'!G30+'A4-FinPerf RE'!G31</f>
        <v>63301227.690000005</v>
      </c>
      <c r="G15" s="558">
        <f>'A4-FinPerf RE'!H30+'A4-FinPerf RE'!H31</f>
        <v>63301227.690000005</v>
      </c>
      <c r="H15" s="210">
        <f>'A4-FinPerf RE'!I30+'A4-FinPerf RE'!I31</f>
        <v>50604468</v>
      </c>
      <c r="I15" s="211">
        <f>'A4-FinPerf RE'!J30+'A4-FinPerf RE'!J31</f>
        <v>150741061</v>
      </c>
      <c r="J15" s="207">
        <f>'A4-FinPerf RE'!K30+'A4-FinPerf RE'!K31</f>
        <v>159634783.59899998</v>
      </c>
      <c r="K15" s="558">
        <f>'A4-FinPerf RE'!L30+'A4-FinPerf RE'!L31</f>
        <v>168574331.480544</v>
      </c>
    </row>
    <row r="16" spans="1:12" ht="11.25" customHeight="1" x14ac:dyDescent="0.25">
      <c r="A16" s="1524" t="s">
        <v>783</v>
      </c>
      <c r="B16" s="207">
        <f>'A4-FinPerf RE'!C33</f>
        <v>1740432</v>
      </c>
      <c r="C16" s="207">
        <f>'A4-FinPerf RE'!D33</f>
        <v>0</v>
      </c>
      <c r="D16" s="557">
        <f>'A4-FinPerf RE'!E33</f>
        <v>2842000</v>
      </c>
      <c r="E16" s="211">
        <f>'A4-FinPerf RE'!F33</f>
        <v>20100543.648256004</v>
      </c>
      <c r="F16" s="207">
        <f>'A4-FinPerf RE'!G33</f>
        <v>19224237.268256001</v>
      </c>
      <c r="G16" s="558">
        <f>'A4-FinPerf RE'!H33</f>
        <v>19224237.268256001</v>
      </c>
      <c r="H16" s="210">
        <f>'A4-FinPerf RE'!I33</f>
        <v>9470720</v>
      </c>
      <c r="I16" s="211">
        <f>'A4-FinPerf RE'!J33</f>
        <v>18561640</v>
      </c>
      <c r="J16" s="207">
        <f>'A4-FinPerf RE'!K33</f>
        <v>19656776.759999998</v>
      </c>
      <c r="K16" s="558">
        <f>'A4-FinPerf RE'!L33</f>
        <v>20757556.258560002</v>
      </c>
    </row>
    <row r="17" spans="1:12" ht="11.25" customHeight="1" x14ac:dyDescent="0.25">
      <c r="A17" s="895" t="s">
        <v>950</v>
      </c>
      <c r="B17" s="207">
        <f>'A4-FinPerf RE'!C27+'A4-FinPerf RE'!C32+'A4-FinPerf RE'!C34+'A4-FinPerf RE'!C35</f>
        <v>119574999</v>
      </c>
      <c r="C17" s="207">
        <f>'A4-FinPerf RE'!D27+'A4-FinPerf RE'!D32+'A4-FinPerf RE'!D34+'A4-FinPerf RE'!D35</f>
        <v>251463628</v>
      </c>
      <c r="D17" s="557">
        <f>'A4-FinPerf RE'!E27+'A4-FinPerf RE'!E32+'A4-FinPerf RE'!E34+'A4-FinPerf RE'!E35</f>
        <v>275016519</v>
      </c>
      <c r="E17" s="211">
        <f>'A4-FinPerf RE'!F27+'A4-FinPerf RE'!F32+'A4-FinPerf RE'!F34+'A4-FinPerf RE'!F35</f>
        <v>125341257.89</v>
      </c>
      <c r="F17" s="207">
        <f>'A4-FinPerf RE'!G27+'A4-FinPerf RE'!G32+'A4-FinPerf RE'!G34+'A4-FinPerf RE'!G35</f>
        <v>116384647.95999999</v>
      </c>
      <c r="G17" s="558">
        <f>'A4-FinPerf RE'!H27+'A4-FinPerf RE'!H32+'A4-FinPerf RE'!H34+'A4-FinPerf RE'!H35</f>
        <v>116384647.95999999</v>
      </c>
      <c r="H17" s="210">
        <f>'A4-FinPerf RE'!I27+'A4-FinPerf RE'!I32+'A4-FinPerf RE'!I34+'A4-FinPerf RE'!I35</f>
        <v>48054779</v>
      </c>
      <c r="I17" s="211">
        <f>'A4-FinPerf RE'!J27+'A4-FinPerf RE'!J32+'A4-FinPerf RE'!J34+'A4-FinPerf RE'!J35</f>
        <v>183837767.99999988</v>
      </c>
      <c r="J17" s="207">
        <f>'A4-FinPerf RE'!K27+'A4-FinPerf RE'!K32+'A4-FinPerf RE'!K34+'A4-FinPerf RE'!K35</f>
        <v>194684196.31199998</v>
      </c>
      <c r="K17" s="558">
        <f>'A4-FinPerf RE'!L27+'A4-FinPerf RE'!L32+'A4-FinPerf RE'!L34+'A4-FinPerf RE'!L35</f>
        <v>205586511.30547202</v>
      </c>
    </row>
    <row r="18" spans="1:12" ht="11.25" customHeight="1" x14ac:dyDescent="0.25">
      <c r="A18" s="896" t="str">
        <f>'A4-FinPerf RE'!A36</f>
        <v>Total Expenditure</v>
      </c>
      <c r="B18" s="1315">
        <f>SUM(B11:B17)</f>
        <v>367303885</v>
      </c>
      <c r="C18" s="1316">
        <f t="shared" ref="C18:K18" si="1">SUM(C11:C17)</f>
        <v>480311835</v>
      </c>
      <c r="D18" s="1317">
        <f t="shared" si="1"/>
        <v>634171173</v>
      </c>
      <c r="E18" s="1315">
        <f t="shared" si="1"/>
        <v>542203713.77425599</v>
      </c>
      <c r="F18" s="1316">
        <f t="shared" si="1"/>
        <v>360517281.74425602</v>
      </c>
      <c r="G18" s="1318">
        <f t="shared" si="1"/>
        <v>360517281.74425602</v>
      </c>
      <c r="H18" s="1319">
        <f t="shared" si="1"/>
        <v>175469184.66</v>
      </c>
      <c r="I18" s="1315">
        <f t="shared" si="1"/>
        <v>629943578.63999987</v>
      </c>
      <c r="J18" s="1316">
        <f t="shared" si="1"/>
        <v>667110249.77975988</v>
      </c>
      <c r="K18" s="1318">
        <f t="shared" si="1"/>
        <v>704468423.76742649</v>
      </c>
    </row>
    <row r="19" spans="1:12" ht="11.25" customHeight="1" x14ac:dyDescent="0.25">
      <c r="A19" s="896" t="str">
        <f>'A4-FinPerf RE'!A38</f>
        <v>Surplus/(Deficit)</v>
      </c>
      <c r="B19" s="1311">
        <f t="shared" ref="B19:K19" si="2">B10-B18</f>
        <v>14225858</v>
      </c>
      <c r="C19" s="365">
        <f t="shared" si="2"/>
        <v>-106632576</v>
      </c>
      <c r="D19" s="1312">
        <f t="shared" si="2"/>
        <v>-222557190.52999997</v>
      </c>
      <c r="E19" s="1311">
        <f t="shared" si="2"/>
        <v>-179263340.78625602</v>
      </c>
      <c r="F19" s="365">
        <f t="shared" si="2"/>
        <v>29712922.933743954</v>
      </c>
      <c r="G19" s="1313">
        <f t="shared" si="2"/>
        <v>29712922.933743954</v>
      </c>
      <c r="H19" s="1314">
        <f t="shared" si="2"/>
        <v>96357589.340000004</v>
      </c>
      <c r="I19" s="1311">
        <f t="shared" si="2"/>
        <v>-141106501.84999985</v>
      </c>
      <c r="J19" s="365">
        <f t="shared" si="2"/>
        <v>-149431785.45914984</v>
      </c>
      <c r="K19" s="1313">
        <f t="shared" si="2"/>
        <v>-157799965.44486237</v>
      </c>
    </row>
    <row r="20" spans="1:12" ht="11.25" customHeight="1" x14ac:dyDescent="0.25">
      <c r="A20" s="895" t="str">
        <f>'A4-FinPerf RE'!A39</f>
        <v>Transfers recognised - capital</v>
      </c>
      <c r="B20" s="211">
        <f>'A4-FinPerf RE'!C39</f>
        <v>0</v>
      </c>
      <c r="C20" s="207">
        <f>'A4-FinPerf RE'!D39</f>
        <v>137122277</v>
      </c>
      <c r="D20" s="557">
        <f>'A4-FinPerf RE'!E39</f>
        <v>90210744</v>
      </c>
      <c r="E20" s="211">
        <f>'A4-FinPerf RE'!F39</f>
        <v>110819750</v>
      </c>
      <c r="F20" s="207">
        <f>'A4-FinPerf RE'!G39</f>
        <v>111340502.91</v>
      </c>
      <c r="G20" s="558">
        <f>'A4-FinPerf RE'!H39</f>
        <v>111340502.91</v>
      </c>
      <c r="H20" s="210">
        <f>'A4-FinPerf RE'!I39</f>
        <v>0</v>
      </c>
      <c r="I20" s="211">
        <f>'A4-FinPerf RE'!J39</f>
        <v>120239000</v>
      </c>
      <c r="J20" s="207">
        <f>'A4-FinPerf RE'!K39</f>
        <v>127333101</v>
      </c>
      <c r="K20" s="558">
        <f>'A4-FinPerf RE'!L39</f>
        <v>134463754.65600002</v>
      </c>
      <c r="L20" s="369"/>
    </row>
    <row r="21" spans="1:12" ht="11.25" customHeight="1" x14ac:dyDescent="0.25">
      <c r="A21" s="895" t="s">
        <v>36</v>
      </c>
      <c r="B21" s="1320">
        <f>'A4-FinPerf RE'!C40+'A4-FinPerf RE'!C41</f>
        <v>0</v>
      </c>
      <c r="C21" s="1321">
        <f>'A4-FinPerf RE'!D40+'A4-FinPerf RE'!D41</f>
        <v>0</v>
      </c>
      <c r="D21" s="1322">
        <f>'A4-FinPerf RE'!E40+'A4-FinPerf RE'!E41</f>
        <v>0</v>
      </c>
      <c r="E21" s="1320">
        <f>'A4-FinPerf RE'!F40+'A4-FinPerf RE'!F41</f>
        <v>0</v>
      </c>
      <c r="F21" s="1321">
        <f>'A4-FinPerf RE'!G40+'A4-FinPerf RE'!G41</f>
        <v>0</v>
      </c>
      <c r="G21" s="1323">
        <f>'A4-FinPerf RE'!H40+'A4-FinPerf RE'!H41</f>
        <v>0</v>
      </c>
      <c r="H21" s="1324">
        <f>'A4-FinPerf RE'!I40+'A4-FinPerf RE'!I41</f>
        <v>0</v>
      </c>
      <c r="I21" s="1320">
        <f>'A4-FinPerf RE'!J40+'A4-FinPerf RE'!J41</f>
        <v>0</v>
      </c>
      <c r="J21" s="1321">
        <f>'A4-FinPerf RE'!K40+'A4-FinPerf RE'!K41</f>
        <v>0</v>
      </c>
      <c r="K21" s="1323">
        <f>'A4-FinPerf RE'!L40+'A4-FinPerf RE'!L41</f>
        <v>0</v>
      </c>
      <c r="L21" s="369"/>
    </row>
    <row r="22" spans="1:12" ht="25.5" x14ac:dyDescent="0.25">
      <c r="A22" s="1157" t="str">
        <f>'A4-FinPerf RE'!A42</f>
        <v>Surplus/(Deficit) after capital transfers &amp; contributions</v>
      </c>
      <c r="B22" s="1356">
        <f>B19+SUM(B20:B21)</f>
        <v>14225858</v>
      </c>
      <c r="C22" s="1357">
        <f t="shared" ref="C22:K22" si="3">C19+SUM(C20:C21)</f>
        <v>30489701</v>
      </c>
      <c r="D22" s="1358">
        <f t="shared" si="3"/>
        <v>-132346446.52999997</v>
      </c>
      <c r="E22" s="1356">
        <f t="shared" si="3"/>
        <v>-68443590.786256015</v>
      </c>
      <c r="F22" s="1357">
        <f t="shared" si="3"/>
        <v>141053425.84374395</v>
      </c>
      <c r="G22" s="1359">
        <f t="shared" si="3"/>
        <v>141053425.84374395</v>
      </c>
      <c r="H22" s="1360">
        <f t="shared" si="3"/>
        <v>96357589.340000004</v>
      </c>
      <c r="I22" s="1356">
        <f t="shared" si="3"/>
        <v>-20867501.849999845</v>
      </c>
      <c r="J22" s="1357">
        <f t="shared" si="3"/>
        <v>-22098684.459149837</v>
      </c>
      <c r="K22" s="1359">
        <f t="shared" si="3"/>
        <v>-23336210.788862348</v>
      </c>
      <c r="L22" s="369"/>
    </row>
    <row r="23" spans="1:12" x14ac:dyDescent="0.25">
      <c r="A23" s="1158" t="str">
        <f>'A4-FinPerf RE'!A47</f>
        <v>Share of surplus/ (deficit) of associate</v>
      </c>
      <c r="B23" s="207">
        <f>'A4-FinPerf RE'!C47</f>
        <v>0</v>
      </c>
      <c r="C23" s="207">
        <f>'A4-FinPerf RE'!D47</f>
        <v>0</v>
      </c>
      <c r="D23" s="557">
        <f>'A4-FinPerf RE'!E47</f>
        <v>0</v>
      </c>
      <c r="E23" s="211">
        <f>'A4-FinPerf RE'!F47</f>
        <v>0</v>
      </c>
      <c r="F23" s="207">
        <f>'A4-FinPerf RE'!G47</f>
        <v>0</v>
      </c>
      <c r="G23" s="558">
        <f>'A4-FinPerf RE'!H47</f>
        <v>0</v>
      </c>
      <c r="H23" s="210">
        <f>'A4-FinPerf RE'!I47</f>
        <v>0</v>
      </c>
      <c r="I23" s="211">
        <f>'A4-FinPerf RE'!J47</f>
        <v>0</v>
      </c>
      <c r="J23" s="207">
        <f>'A4-FinPerf RE'!K47</f>
        <v>0</v>
      </c>
      <c r="K23" s="558">
        <f>'A4-FinPerf RE'!L47</f>
        <v>0</v>
      </c>
    </row>
    <row r="24" spans="1:12" x14ac:dyDescent="0.25">
      <c r="A24" s="1157" t="str">
        <f>'A4-FinPerf RE'!A48</f>
        <v>Surplus/(Deficit) for the year</v>
      </c>
      <c r="B24" s="1311">
        <f>B22+B23</f>
        <v>14225858</v>
      </c>
      <c r="C24" s="365">
        <f t="shared" ref="C24:K24" si="4">C22+C23</f>
        <v>30489701</v>
      </c>
      <c r="D24" s="1312">
        <f t="shared" si="4"/>
        <v>-132346446.52999997</v>
      </c>
      <c r="E24" s="1311">
        <f t="shared" si="4"/>
        <v>-68443590.786256015</v>
      </c>
      <c r="F24" s="365">
        <f t="shared" si="4"/>
        <v>141053425.84374395</v>
      </c>
      <c r="G24" s="1313">
        <f t="shared" si="4"/>
        <v>141053425.84374395</v>
      </c>
      <c r="H24" s="1314">
        <f t="shared" si="4"/>
        <v>96357589.340000004</v>
      </c>
      <c r="I24" s="1311">
        <f t="shared" si="4"/>
        <v>-20867501.849999845</v>
      </c>
      <c r="J24" s="365">
        <f t="shared" si="4"/>
        <v>-22098684.459149837</v>
      </c>
      <c r="K24" s="1313">
        <f t="shared" si="4"/>
        <v>-23336210.788862348</v>
      </c>
    </row>
    <row r="25" spans="1:12" ht="5.0999999999999996" customHeight="1" x14ac:dyDescent="0.25">
      <c r="A25" s="1159"/>
      <c r="B25" s="158"/>
      <c r="C25" s="159"/>
      <c r="D25" s="160"/>
      <c r="E25" s="158"/>
      <c r="F25" s="159"/>
      <c r="G25" s="160"/>
      <c r="H25" s="161"/>
      <c r="I25" s="158"/>
      <c r="J25" s="159"/>
      <c r="K25" s="160"/>
    </row>
    <row r="26" spans="1:12" ht="11.25" customHeight="1" x14ac:dyDescent="0.25">
      <c r="A26" s="892" t="s">
        <v>1060</v>
      </c>
      <c r="B26" s="165"/>
      <c r="C26" s="166"/>
      <c r="D26" s="167"/>
      <c r="E26" s="165"/>
      <c r="F26" s="166"/>
      <c r="G26" s="167"/>
      <c r="H26" s="168"/>
      <c r="I26" s="165"/>
      <c r="J26" s="166"/>
      <c r="K26" s="167"/>
    </row>
    <row r="27" spans="1:12" ht="11.25" customHeight="1" x14ac:dyDescent="0.25">
      <c r="A27" s="896" t="s">
        <v>1497</v>
      </c>
      <c r="B27" s="1126">
        <f>'A5-Capex'!C63</f>
        <v>44966000</v>
      </c>
      <c r="C27" s="207">
        <f>'A5-Capex'!D63</f>
        <v>16769034.030000003</v>
      </c>
      <c r="D27" s="557">
        <f>'A5-Capex'!E63</f>
        <v>113650291.00000001</v>
      </c>
      <c r="E27" s="211">
        <f>'A5-Capex'!F63</f>
        <v>110819751.63</v>
      </c>
      <c r="F27" s="207">
        <f>'A5-Capex'!G63</f>
        <v>111340502.91000003</v>
      </c>
      <c r="G27" s="558">
        <f>'A5-Capex'!H63</f>
        <v>111340502.91000003</v>
      </c>
      <c r="H27" s="210">
        <f>'A5-Capex'!I63</f>
        <v>17831558.759999998</v>
      </c>
      <c r="I27" s="211">
        <f>'A5-Capex'!J63</f>
        <v>116339135</v>
      </c>
      <c r="J27" s="207">
        <f>'A5-Capex'!K63</f>
        <v>122737787.425</v>
      </c>
      <c r="K27" s="558">
        <f>'A5-Capex'!L63</f>
        <v>129242890.15852499</v>
      </c>
    </row>
    <row r="28" spans="1:12" ht="11.25" customHeight="1" x14ac:dyDescent="0.25">
      <c r="A28" s="1525" t="s">
        <v>1335</v>
      </c>
      <c r="B28" s="1126">
        <f>'A5-Capex'!C70</f>
        <v>44966000</v>
      </c>
      <c r="C28" s="207">
        <f>'A5-Capex'!D70</f>
        <v>16769034.030000003</v>
      </c>
      <c r="D28" s="557">
        <f>'A5-Capex'!E70</f>
        <v>113650291.00000001</v>
      </c>
      <c r="E28" s="211">
        <f>'A5-Capex'!F70</f>
        <v>110819751.63</v>
      </c>
      <c r="F28" s="207">
        <f>'A5-Capex'!G70</f>
        <v>111340502.91000003</v>
      </c>
      <c r="G28" s="558">
        <f>'A5-Capex'!H70</f>
        <v>111340502.91000003</v>
      </c>
      <c r="H28" s="210">
        <f>'A5-Capex'!I70</f>
        <v>17831558.759999998</v>
      </c>
      <c r="I28" s="211">
        <f>'A5-Capex'!J70</f>
        <v>116339135</v>
      </c>
      <c r="J28" s="207">
        <f>'A5-Capex'!K70</f>
        <v>122737787.425</v>
      </c>
      <c r="K28" s="558">
        <f>'A5-Capex'!L70</f>
        <v>129242890.15852499</v>
      </c>
    </row>
    <row r="29" spans="1:12" ht="11.25" customHeight="1" x14ac:dyDescent="0.25">
      <c r="A29" s="895" t="str">
        <f>'A5-Capex'!A71</f>
        <v>Public contributions &amp; donations</v>
      </c>
      <c r="B29" s="1126">
        <f>'A5-Capex'!C71</f>
        <v>0</v>
      </c>
      <c r="C29" s="207">
        <f>'A5-Capex'!D71</f>
        <v>0</v>
      </c>
      <c r="D29" s="557">
        <f>'A5-Capex'!E71</f>
        <v>0</v>
      </c>
      <c r="E29" s="211">
        <f>'A5-Capex'!F71</f>
        <v>0</v>
      </c>
      <c r="F29" s="207">
        <f>'A5-Capex'!G71</f>
        <v>0</v>
      </c>
      <c r="G29" s="558">
        <f>'A5-Capex'!H71</f>
        <v>0</v>
      </c>
      <c r="H29" s="210">
        <f>'A5-Capex'!I71</f>
        <v>0</v>
      </c>
      <c r="I29" s="211">
        <f>'A5-Capex'!J71</f>
        <v>0</v>
      </c>
      <c r="J29" s="207">
        <f>'A5-Capex'!K71</f>
        <v>0</v>
      </c>
      <c r="K29" s="558">
        <f>'A5-Capex'!L71</f>
        <v>0</v>
      </c>
    </row>
    <row r="30" spans="1:12" ht="11.25" customHeight="1" x14ac:dyDescent="0.25">
      <c r="A30" s="895" t="str">
        <f>'A5-Capex'!A72</f>
        <v>Borrowing</v>
      </c>
      <c r="B30" s="1126">
        <f>'A5-Capex'!C72</f>
        <v>0</v>
      </c>
      <c r="C30" s="207">
        <f>'A5-Capex'!D72</f>
        <v>0</v>
      </c>
      <c r="D30" s="557">
        <f>'A5-Capex'!E72</f>
        <v>0</v>
      </c>
      <c r="E30" s="211">
        <f>'A5-Capex'!F72</f>
        <v>0</v>
      </c>
      <c r="F30" s="207">
        <f>'A5-Capex'!G72</f>
        <v>0</v>
      </c>
      <c r="G30" s="558">
        <f>'A5-Capex'!H72</f>
        <v>0</v>
      </c>
      <c r="H30" s="210">
        <f>'A5-Capex'!I72</f>
        <v>0</v>
      </c>
      <c r="I30" s="211">
        <f>'A5-Capex'!J72</f>
        <v>0</v>
      </c>
      <c r="J30" s="207">
        <f>'A5-Capex'!K72</f>
        <v>0</v>
      </c>
      <c r="K30" s="558">
        <f>'A5-Capex'!L72</f>
        <v>0</v>
      </c>
    </row>
    <row r="31" spans="1:12" ht="11.25" customHeight="1" x14ac:dyDescent="0.25">
      <c r="A31" s="895" t="str">
        <f>'A5-Capex'!A73</f>
        <v>Internally generated funds</v>
      </c>
      <c r="B31" s="1126">
        <f>'A5-Capex'!C73</f>
        <v>0</v>
      </c>
      <c r="C31" s="207">
        <f>'A5-Capex'!D73</f>
        <v>0</v>
      </c>
      <c r="D31" s="557">
        <f>'A5-Capex'!E73</f>
        <v>0</v>
      </c>
      <c r="E31" s="211">
        <f>'A5-Capex'!F73</f>
        <v>0</v>
      </c>
      <c r="F31" s="207">
        <f>'A5-Capex'!G73</f>
        <v>0</v>
      </c>
      <c r="G31" s="558">
        <f>'A5-Capex'!H73</f>
        <v>0</v>
      </c>
      <c r="H31" s="210">
        <f>'A5-Capex'!I73</f>
        <v>0</v>
      </c>
      <c r="I31" s="211">
        <f>'A5-Capex'!J73</f>
        <v>0</v>
      </c>
      <c r="J31" s="207">
        <f>'A5-Capex'!K73</f>
        <v>0</v>
      </c>
      <c r="K31" s="558">
        <f>'A5-Capex'!L73</f>
        <v>0</v>
      </c>
    </row>
    <row r="32" spans="1:12" s="246" customFormat="1" ht="11.25" customHeight="1" x14ac:dyDescent="0.25">
      <c r="A32" s="896" t="s">
        <v>393</v>
      </c>
      <c r="B32" s="1126">
        <f t="shared" ref="B32:K32" si="5">SUM(B28:B31)</f>
        <v>44966000</v>
      </c>
      <c r="C32" s="207">
        <f t="shared" si="5"/>
        <v>16769034.030000003</v>
      </c>
      <c r="D32" s="557">
        <f t="shared" si="5"/>
        <v>113650291.00000001</v>
      </c>
      <c r="E32" s="211">
        <f t="shared" si="5"/>
        <v>110819751.63</v>
      </c>
      <c r="F32" s="207">
        <f t="shared" si="5"/>
        <v>111340502.91000003</v>
      </c>
      <c r="G32" s="558">
        <f t="shared" si="5"/>
        <v>111340502.91000003</v>
      </c>
      <c r="H32" s="210">
        <f t="shared" si="5"/>
        <v>17831558.759999998</v>
      </c>
      <c r="I32" s="211">
        <f t="shared" si="5"/>
        <v>116339135</v>
      </c>
      <c r="J32" s="207">
        <f t="shared" si="5"/>
        <v>122737787.425</v>
      </c>
      <c r="K32" s="558">
        <f t="shared" si="5"/>
        <v>129242890.15852499</v>
      </c>
    </row>
    <row r="33" spans="1:15" ht="5.0999999999999996" customHeight="1" x14ac:dyDescent="0.25">
      <c r="A33" s="896"/>
      <c r="B33" s="169"/>
      <c r="C33" s="170"/>
      <c r="D33" s="171"/>
      <c r="E33" s="169"/>
      <c r="F33" s="170"/>
      <c r="G33" s="171"/>
      <c r="H33" s="172"/>
      <c r="I33" s="169"/>
      <c r="J33" s="170"/>
      <c r="K33" s="171"/>
      <c r="O33" s="246"/>
    </row>
    <row r="34" spans="1:15" ht="11.25" customHeight="1" x14ac:dyDescent="0.25">
      <c r="A34" s="892" t="s">
        <v>202</v>
      </c>
      <c r="B34" s="165"/>
      <c r="C34" s="166"/>
      <c r="D34" s="167"/>
      <c r="E34" s="165"/>
      <c r="F34" s="166"/>
      <c r="G34" s="167"/>
      <c r="H34" s="168"/>
      <c r="I34" s="165"/>
      <c r="J34" s="166"/>
      <c r="K34" s="167"/>
      <c r="O34" s="246"/>
    </row>
    <row r="35" spans="1:15" ht="11.25" customHeight="1" x14ac:dyDescent="0.25">
      <c r="A35" s="895" t="str">
        <f>'A6-FinPos'!A12</f>
        <v>Total current assets</v>
      </c>
      <c r="B35" s="1126">
        <f>'A6-FinPos'!C12</f>
        <v>138475000</v>
      </c>
      <c r="C35" s="207">
        <f>'A6-FinPos'!D12</f>
        <v>81829068</v>
      </c>
      <c r="D35" s="557">
        <f>'A6-FinPos'!E12</f>
        <v>50518651</v>
      </c>
      <c r="E35" s="211">
        <f>'A6-FinPos'!F12</f>
        <v>231651808.48199999</v>
      </c>
      <c r="F35" s="207">
        <f>'A6-FinPos'!G12</f>
        <v>37526788.481999986</v>
      </c>
      <c r="G35" s="558">
        <f>'A6-FinPos'!H12</f>
        <v>37526788.481999986</v>
      </c>
      <c r="H35" s="210">
        <f>'A6-FinPos'!I12</f>
        <v>485744866</v>
      </c>
      <c r="I35" s="211">
        <f>'A6-FinPos'!J12</f>
        <v>145551354.13799995</v>
      </c>
      <c r="J35" s="207">
        <f>'A6-FinPos'!K12</f>
        <v>154138884.03214198</v>
      </c>
      <c r="K35" s="558">
        <f>'A6-FinPos'!L12</f>
        <v>162770661.53794193</v>
      </c>
      <c r="O35" s="246"/>
    </row>
    <row r="36" spans="1:15" ht="11.25" customHeight="1" x14ac:dyDescent="0.25">
      <c r="A36" s="895" t="str">
        <f>'A6-FinPos'!A24</f>
        <v>Total non current assets</v>
      </c>
      <c r="B36" s="1126">
        <f>'A6-FinPos'!C24</f>
        <v>2855009000</v>
      </c>
      <c r="C36" s="207">
        <f>'A6-FinPos'!D24</f>
        <v>1643730954</v>
      </c>
      <c r="D36" s="557">
        <f>'A6-FinPos'!E24</f>
        <v>1603584350</v>
      </c>
      <c r="E36" s="211">
        <f>'A6-FinPos'!F24</f>
        <v>2018998554</v>
      </c>
      <c r="F36" s="207">
        <f>'A6-FinPos'!G24</f>
        <v>2019519305.2800002</v>
      </c>
      <c r="G36" s="558">
        <f>'A6-FinPos'!H24</f>
        <v>2019519305.2800002</v>
      </c>
      <c r="H36" s="210">
        <f>'A6-FinPos'!I24</f>
        <v>1622970885</v>
      </c>
      <c r="I36" s="211">
        <f>'A6-FinPos'!J24</f>
        <v>1693166049.4360001</v>
      </c>
      <c r="J36" s="207">
        <f>'A6-FinPos'!K24</f>
        <v>1793062846.3527241</v>
      </c>
      <c r="K36" s="558">
        <f>'A6-FinPos'!L24</f>
        <v>1893474365.7484767</v>
      </c>
      <c r="O36" s="246"/>
    </row>
    <row r="37" spans="1:15" ht="11.25" customHeight="1" x14ac:dyDescent="0.25">
      <c r="A37" s="895" t="str">
        <f>'A6-FinPos'!A34</f>
        <v>Total current liabilities</v>
      </c>
      <c r="B37" s="1126">
        <f>'A6-FinPos'!C34</f>
        <v>90358000</v>
      </c>
      <c r="C37" s="207">
        <f>'A6-FinPos'!D34</f>
        <v>71637078</v>
      </c>
      <c r="D37" s="557">
        <f>'A6-FinPos'!E34</f>
        <v>150858073</v>
      </c>
      <c r="E37" s="211">
        <f>'A6-FinPos'!F34</f>
        <v>64913082.75</v>
      </c>
      <c r="F37" s="207">
        <f>'A6-FinPos'!G34</f>
        <v>64913082.75</v>
      </c>
      <c r="G37" s="558">
        <f>'A6-FinPos'!H34</f>
        <v>64913082.75</v>
      </c>
      <c r="H37" s="210">
        <f>'A6-FinPos'!I34</f>
        <v>111047222</v>
      </c>
      <c r="I37" s="211">
        <f>'A6-FinPos'!J34</f>
        <v>59698035.864</v>
      </c>
      <c r="J37" s="207">
        <f>'A6-FinPos'!K34</f>
        <v>63220219.979975998</v>
      </c>
      <c r="K37" s="558">
        <f>'A6-FinPos'!L34</f>
        <v>66760552.298854657</v>
      </c>
      <c r="O37" s="246"/>
    </row>
    <row r="38" spans="1:15" ht="11.25" customHeight="1" x14ac:dyDescent="0.25">
      <c r="A38" s="895" t="str">
        <f>'A6-FinPos'!A39</f>
        <v>Total non current liabilities</v>
      </c>
      <c r="B38" s="1126">
        <f>'A6-FinPos'!C39</f>
        <v>8617991</v>
      </c>
      <c r="C38" s="207">
        <f>'A6-FinPos'!D39</f>
        <v>14401026</v>
      </c>
      <c r="D38" s="557">
        <f>'A6-FinPos'!E39</f>
        <v>20858137</v>
      </c>
      <c r="E38" s="211">
        <f>'A6-FinPos'!F39</f>
        <v>15293889.612000002</v>
      </c>
      <c r="F38" s="207">
        <f>'A6-FinPos'!G39</f>
        <v>15293889.612000002</v>
      </c>
      <c r="G38" s="558">
        <f>'A6-FinPos'!H39</f>
        <v>15293889.612000002</v>
      </c>
      <c r="H38" s="210">
        <f>'A6-FinPos'!I39</f>
        <v>20858137</v>
      </c>
      <c r="I38" s="211">
        <f>'A6-FinPos'!J39</f>
        <v>22067908.946000002</v>
      </c>
      <c r="J38" s="207">
        <f>'A6-FinPos'!K39</f>
        <v>23369915.573814001</v>
      </c>
      <c r="K38" s="558">
        <f>'A6-FinPos'!L39</f>
        <v>24748740.592669025</v>
      </c>
      <c r="O38" s="246"/>
    </row>
    <row r="39" spans="1:15" ht="11.25" customHeight="1" x14ac:dyDescent="0.25">
      <c r="A39" s="895" t="s">
        <v>37</v>
      </c>
      <c r="B39" s="1126">
        <f>'A6-FinPos'!C48</f>
        <v>2894508009</v>
      </c>
      <c r="C39" s="207">
        <f>'A6-FinPos'!D48</f>
        <v>1639521918</v>
      </c>
      <c r="D39" s="557">
        <f>'A6-FinPos'!E48</f>
        <v>1482386791</v>
      </c>
      <c r="E39" s="211">
        <f>'A6-FinPos'!F48</f>
        <v>2170443390.1199999</v>
      </c>
      <c r="F39" s="207">
        <f>'A6-FinPos'!G48</f>
        <v>1976839121.4000001</v>
      </c>
      <c r="G39" s="558">
        <f>'A6-FinPos'!H48</f>
        <v>1976839121.4000001</v>
      </c>
      <c r="H39" s="210">
        <f>'A6-FinPos'!I48</f>
        <v>1976810392</v>
      </c>
      <c r="I39" s="211">
        <f>'A6-FinPos'!J48</f>
        <v>1756951458.7640002</v>
      </c>
      <c r="J39" s="207">
        <f>'A6-FinPos'!K48</f>
        <v>1860611594.8310759</v>
      </c>
      <c r="K39" s="558">
        <f>'A6-FinPos'!L48</f>
        <v>1964735734.3948951</v>
      </c>
      <c r="O39" s="246"/>
    </row>
    <row r="40" spans="1:15" ht="5.0999999999999996" customHeight="1" x14ac:dyDescent="0.25">
      <c r="A40" s="1159"/>
      <c r="B40" s="158"/>
      <c r="C40" s="159"/>
      <c r="D40" s="160"/>
      <c r="E40" s="158"/>
      <c r="F40" s="159"/>
      <c r="G40" s="160"/>
      <c r="H40" s="161"/>
      <c r="I40" s="158"/>
      <c r="J40" s="159"/>
      <c r="K40" s="160"/>
      <c r="O40" s="246"/>
    </row>
    <row r="41" spans="1:15" ht="11.25" customHeight="1" x14ac:dyDescent="0.25">
      <c r="A41" s="892" t="s">
        <v>203</v>
      </c>
      <c r="B41" s="165"/>
      <c r="C41" s="166"/>
      <c r="D41" s="167"/>
      <c r="E41" s="165"/>
      <c r="F41" s="166"/>
      <c r="G41" s="167"/>
      <c r="H41" s="168"/>
      <c r="I41" s="165"/>
      <c r="J41" s="166"/>
      <c r="K41" s="167"/>
      <c r="O41" s="246"/>
    </row>
    <row r="42" spans="1:15" ht="11.25" customHeight="1" x14ac:dyDescent="0.25">
      <c r="A42" s="895" t="s">
        <v>978</v>
      </c>
      <c r="B42" s="1126">
        <f>'A7-CFlow'!C17</f>
        <v>78928400</v>
      </c>
      <c r="C42" s="207">
        <f>'A7-CFlow'!D17</f>
        <v>78192634</v>
      </c>
      <c r="D42" s="557">
        <f>'A7-CFlow'!E17</f>
        <v>150169872</v>
      </c>
      <c r="E42" s="211">
        <f>'A7-CFlow'!F17</f>
        <v>91646619.207744002</v>
      </c>
      <c r="F42" s="207">
        <f>'A7-CFlow'!G17</f>
        <v>-145162148.85999995</v>
      </c>
      <c r="G42" s="558">
        <f>'A7-CFlow'!H17</f>
        <v>-145162148.85999995</v>
      </c>
      <c r="H42" s="210">
        <f>'A7-CFlow'!I17</f>
        <v>48362124</v>
      </c>
      <c r="I42" s="211">
        <f>'A7-CFlow'!J17</f>
        <v>116339134.77999997</v>
      </c>
      <c r="J42" s="207">
        <f>'A7-CFlow'!K17</f>
        <v>123203143.73202002</v>
      </c>
      <c r="K42" s="558">
        <f>'A7-CFlow'!L17</f>
        <v>130102519.78101307</v>
      </c>
    </row>
    <row r="43" spans="1:15" ht="11.25" customHeight="1" x14ac:dyDescent="0.25">
      <c r="A43" s="895" t="s">
        <v>979</v>
      </c>
      <c r="B43" s="1126">
        <f>'A7-CFlow'!C27</f>
        <v>-90830704</v>
      </c>
      <c r="C43" s="207">
        <f>'A7-CFlow'!D27</f>
        <v>-150915098</v>
      </c>
      <c r="D43" s="557">
        <f>'A7-CFlow'!E27</f>
        <v>-112147693</v>
      </c>
      <c r="E43" s="211">
        <f>'A7-CFlow'!F27</f>
        <v>-110819751.63</v>
      </c>
      <c r="F43" s="207">
        <f>'A7-CFlow'!G27</f>
        <v>-111340502.91</v>
      </c>
      <c r="G43" s="558">
        <f>'A7-CFlow'!H27</f>
        <v>-111340502.91</v>
      </c>
      <c r="H43" s="210">
        <f>'A7-CFlow'!I27</f>
        <v>-10529960</v>
      </c>
      <c r="I43" s="211">
        <f>'A7-CFlow'!J27</f>
        <v>-116339135</v>
      </c>
      <c r="J43" s="207">
        <f>'A7-CFlow'!K27</f>
        <v>-122737787.425</v>
      </c>
      <c r="K43" s="558">
        <f>'A7-CFlow'!L27</f>
        <v>-129242890.15852499</v>
      </c>
    </row>
    <row r="44" spans="1:15" ht="11.25" customHeight="1" x14ac:dyDescent="0.25">
      <c r="A44" s="895" t="s">
        <v>977</v>
      </c>
      <c r="B44" s="1126">
        <f>'A7-CFlow'!C36</f>
        <v>0</v>
      </c>
      <c r="C44" s="207">
        <f>'A7-CFlow'!D36</f>
        <v>0</v>
      </c>
      <c r="D44" s="557">
        <f>'A7-CFlow'!E36</f>
        <v>0</v>
      </c>
      <c r="E44" s="211">
        <f>'A7-CFlow'!F36</f>
        <v>0</v>
      </c>
      <c r="F44" s="207">
        <f>'A7-CFlow'!G36</f>
        <v>0</v>
      </c>
      <c r="G44" s="558">
        <f>'A7-CFlow'!H36</f>
        <v>0</v>
      </c>
      <c r="H44" s="210">
        <f>'A7-CFlow'!I36</f>
        <v>0</v>
      </c>
      <c r="I44" s="211">
        <f>'A7-CFlow'!J36</f>
        <v>0</v>
      </c>
      <c r="J44" s="207">
        <f>'A7-CFlow'!K36</f>
        <v>0</v>
      </c>
      <c r="K44" s="558">
        <f>'A7-CFlow'!L36</f>
        <v>0</v>
      </c>
    </row>
    <row r="45" spans="1:15" ht="11.25" customHeight="1" x14ac:dyDescent="0.25">
      <c r="A45" s="896" t="str">
        <f>LEFT('A7-CFlow'!A40,37)</f>
        <v>Cash/cash equivalents at the year end</v>
      </c>
      <c r="B45" s="1126">
        <f>'A7-CFlow'!C40</f>
        <v>72681576</v>
      </c>
      <c r="C45" s="207">
        <f>'A7-CFlow'!D40</f>
        <v>3189252</v>
      </c>
      <c r="D45" s="557">
        <f>'A7-CFlow'!E40</f>
        <v>41211431</v>
      </c>
      <c r="E45" s="211">
        <f>'A7-CFlow'!F40</f>
        <v>30552867.577744007</v>
      </c>
      <c r="F45" s="207">
        <f>'A7-CFlow'!G40</f>
        <v>-163572295.76999995</v>
      </c>
      <c r="G45" s="558">
        <f>'A7-CFlow'!H40</f>
        <v>-163572295.76999995</v>
      </c>
      <c r="H45" s="210">
        <f>'A7-CFlow'!I40</f>
        <v>79043594</v>
      </c>
      <c r="I45" s="211">
        <f>'A7-CFlow'!J40</f>
        <v>99999.77999997139</v>
      </c>
      <c r="J45" s="207">
        <f>'A7-CFlow'!K40</f>
        <v>565356.08701999485</v>
      </c>
      <c r="K45" s="558">
        <f>'A7-CFlow'!L40</f>
        <v>1424985.7095080763</v>
      </c>
    </row>
    <row r="46" spans="1:15" ht="5.0999999999999996" customHeight="1" x14ac:dyDescent="0.25">
      <c r="A46" s="1159"/>
      <c r="B46" s="158"/>
      <c r="C46" s="159"/>
      <c r="D46" s="160"/>
      <c r="E46" s="158"/>
      <c r="F46" s="159"/>
      <c r="G46" s="160"/>
      <c r="H46" s="161"/>
      <c r="I46" s="158"/>
      <c r="J46" s="159"/>
      <c r="K46" s="160"/>
    </row>
    <row r="47" spans="1:15" ht="11.25" customHeight="1" x14ac:dyDescent="0.25">
      <c r="A47" s="892" t="s">
        <v>288</v>
      </c>
      <c r="B47" s="165"/>
      <c r="C47" s="166"/>
      <c r="D47" s="167"/>
      <c r="E47" s="165"/>
      <c r="F47" s="166"/>
      <c r="G47" s="167"/>
      <c r="H47" s="168"/>
      <c r="I47" s="165"/>
      <c r="J47" s="166"/>
      <c r="K47" s="167"/>
    </row>
    <row r="48" spans="1:15" ht="11.25" customHeight="1" x14ac:dyDescent="0.25">
      <c r="A48" s="895" t="str">
        <f>'A8-ResRecon'!A4</f>
        <v>Cash and investments available</v>
      </c>
      <c r="B48" s="1126">
        <f>'A8-ResRecon'!C8</f>
        <v>72682000</v>
      </c>
      <c r="C48" s="207">
        <f>'A8-ResRecon'!D8</f>
        <v>3189252</v>
      </c>
      <c r="D48" s="557">
        <f>'A8-ResRecon'!E8</f>
        <v>41211431</v>
      </c>
      <c r="E48" s="211">
        <f>'A8-ResRecon'!F8</f>
        <v>30552723.829999983</v>
      </c>
      <c r="F48" s="207">
        <f>'A8-ResRecon'!G8</f>
        <v>-163572296.17000002</v>
      </c>
      <c r="G48" s="558">
        <f>'A8-ResRecon'!H8</f>
        <v>-163572296.17000002</v>
      </c>
      <c r="H48" s="210">
        <f>'A8-ResRecon'!I8</f>
        <v>53062546</v>
      </c>
      <c r="I48" s="211">
        <f>'A8-ResRecon'!J8</f>
        <v>2568986.4299999713</v>
      </c>
      <c r="J48" s="207">
        <f>'A8-ResRecon'!K8</f>
        <v>2720556.6293699695</v>
      </c>
      <c r="K48" s="558">
        <f>'A8-ResRecon'!L8</f>
        <v>2872907.8006146876</v>
      </c>
    </row>
    <row r="49" spans="1:12" ht="11.25" customHeight="1" x14ac:dyDescent="0.25">
      <c r="A49" s="895" t="str">
        <f>'A8-ResRecon'!A10</f>
        <v>Application of cash and investments</v>
      </c>
      <c r="B49" s="1126">
        <f>'A8-ResRecon'!C18</f>
        <v>45724000</v>
      </c>
      <c r="C49" s="207">
        <f>'A8-ResRecon'!D18</f>
        <v>56006953</v>
      </c>
      <c r="D49" s="557">
        <f>'A8-ResRecon'!E18</f>
        <v>141138320</v>
      </c>
      <c r="E49" s="211">
        <f>'A8-ResRecon'!F18</f>
        <v>9062000</v>
      </c>
      <c r="F49" s="207">
        <f>'A8-ResRecon'!G18</f>
        <v>17892000</v>
      </c>
      <c r="G49" s="558">
        <f>'A8-ResRecon'!H18</f>
        <v>17892000</v>
      </c>
      <c r="H49" s="210">
        <f>'A8-ResRecon'!I18</f>
        <v>-172871086</v>
      </c>
      <c r="I49" s="211">
        <f>'A8-ResRecon'!J18</f>
        <v>-4903000</v>
      </c>
      <c r="J49" s="207">
        <f>'A8-ResRecon'!K18</f>
        <v>-5192000</v>
      </c>
      <c r="K49" s="558">
        <f>'A8-ResRecon'!L18</f>
        <v>-5482976</v>
      </c>
    </row>
    <row r="50" spans="1:12" ht="11.25" customHeight="1" x14ac:dyDescent="0.25">
      <c r="A50" s="896" t="s">
        <v>1077</v>
      </c>
      <c r="B50" s="1126">
        <f>B48-B49</f>
        <v>26958000</v>
      </c>
      <c r="C50" s="207">
        <f t="shared" ref="C50:K50" si="6">C48-C49</f>
        <v>-52817701</v>
      </c>
      <c r="D50" s="557">
        <f t="shared" si="6"/>
        <v>-99926889</v>
      </c>
      <c r="E50" s="211">
        <f t="shared" si="6"/>
        <v>21490723.829999983</v>
      </c>
      <c r="F50" s="207">
        <f t="shared" si="6"/>
        <v>-181464296.17000002</v>
      </c>
      <c r="G50" s="558">
        <f t="shared" si="6"/>
        <v>-181464296.17000002</v>
      </c>
      <c r="H50" s="210">
        <f t="shared" si="6"/>
        <v>225933632</v>
      </c>
      <c r="I50" s="211">
        <f t="shared" si="6"/>
        <v>7471986.4299999718</v>
      </c>
      <c r="J50" s="207">
        <f t="shared" si="6"/>
        <v>7912556.6293699695</v>
      </c>
      <c r="K50" s="558">
        <f t="shared" si="6"/>
        <v>8355883.8006146876</v>
      </c>
    </row>
    <row r="51" spans="1:12" ht="5.0999999999999996" customHeight="1" x14ac:dyDescent="0.25">
      <c r="A51" s="921"/>
      <c r="B51" s="174"/>
      <c r="C51" s="175"/>
      <c r="D51" s="176"/>
      <c r="E51" s="174"/>
      <c r="F51" s="175"/>
      <c r="G51" s="176"/>
      <c r="H51" s="177"/>
      <c r="I51" s="174"/>
      <c r="J51" s="175"/>
      <c r="K51" s="176"/>
    </row>
    <row r="52" spans="1:12" ht="11.25" customHeight="1" x14ac:dyDescent="0.25">
      <c r="A52" s="1160" t="s">
        <v>1232</v>
      </c>
      <c r="B52" s="158"/>
      <c r="C52" s="159"/>
      <c r="D52" s="160"/>
      <c r="E52" s="158"/>
      <c r="F52" s="159"/>
      <c r="G52" s="160"/>
      <c r="H52" s="161"/>
      <c r="I52" s="158"/>
      <c r="J52" s="159"/>
      <c r="K52" s="160"/>
      <c r="L52" s="369"/>
    </row>
    <row r="53" spans="1:12" ht="11.25" customHeight="1" x14ac:dyDescent="0.25">
      <c r="A53" s="1161" t="s">
        <v>953</v>
      </c>
      <c r="B53" s="1126">
        <f>'A9-Asset'!C65</f>
        <v>314980000</v>
      </c>
      <c r="C53" s="207">
        <f>'A9-Asset'!D65</f>
        <v>16769034</v>
      </c>
      <c r="D53" s="557">
        <f>'A9-Asset'!E65</f>
        <v>0</v>
      </c>
      <c r="E53" s="211">
        <f>'A9-Asset'!F65</f>
        <v>110819751.63</v>
      </c>
      <c r="F53" s="207">
        <f>'A9-Asset'!G65</f>
        <v>2019519305.28</v>
      </c>
      <c r="G53" s="558">
        <f>'A9-Asset'!H65</f>
        <v>2019519305.28</v>
      </c>
      <c r="H53" s="210">
        <f>'A9-Asset'!I65</f>
        <v>1693166049.4360001</v>
      </c>
      <c r="I53" s="211">
        <f>'A9-Asset'!I65</f>
        <v>1693166049.4360001</v>
      </c>
      <c r="J53" s="207">
        <f>'A9-Asset'!J65</f>
        <v>1793062846.35272</v>
      </c>
      <c r="K53" s="558">
        <f>'A9-Asset'!K65</f>
        <v>1893474365.7484751</v>
      </c>
      <c r="L53" s="369"/>
    </row>
    <row r="54" spans="1:12" ht="11.25" customHeight="1" x14ac:dyDescent="0.25">
      <c r="A54" s="1161" t="str">
        <f>'A9-Asset'!A68</f>
        <v>Depreciation &amp; asset impairment</v>
      </c>
      <c r="B54" s="1126">
        <f>'A9-Asset'!C68</f>
        <v>64066096</v>
      </c>
      <c r="C54" s="207">
        <f>'A9-Asset'!D68</f>
        <v>149019344</v>
      </c>
      <c r="D54" s="557">
        <f>'A9-Asset'!E68</f>
        <v>130728341</v>
      </c>
      <c r="E54" s="211">
        <f>'A9-Asset'!F68</f>
        <v>174084397.236</v>
      </c>
      <c r="F54" s="207">
        <f>'A9-Asset'!G68</f>
        <v>43649999.996000007</v>
      </c>
      <c r="G54" s="558">
        <f>'A9-Asset'!H68</f>
        <v>43649999.996000007</v>
      </c>
      <c r="H54" s="210">
        <f>'A9-Asset'!I68</f>
        <v>151000100</v>
      </c>
      <c r="I54" s="211">
        <f>'A9-Asset'!I68</f>
        <v>151000100</v>
      </c>
      <c r="J54" s="207">
        <f>'A9-Asset'!J68</f>
        <v>159909105.90000001</v>
      </c>
      <c r="K54" s="558">
        <f>'A9-Asset'!K68</f>
        <v>168864015.83040002</v>
      </c>
      <c r="L54" s="369"/>
    </row>
    <row r="55" spans="1:12" ht="11.25" customHeight="1" x14ac:dyDescent="0.25">
      <c r="A55" s="1161" t="s">
        <v>443</v>
      </c>
      <c r="B55" s="1126">
        <f>'A9-Asset'!C20</f>
        <v>0</v>
      </c>
      <c r="C55" s="207">
        <f>'A9-Asset'!D20</f>
        <v>0</v>
      </c>
      <c r="D55" s="557">
        <f>'A9-Asset'!E20</f>
        <v>0</v>
      </c>
      <c r="E55" s="211">
        <f>'A9-Asset'!F20</f>
        <v>0</v>
      </c>
      <c r="F55" s="207">
        <f>'A9-Asset'!G20</f>
        <v>0</v>
      </c>
      <c r="G55" s="558">
        <f>'A9-Asset'!H20</f>
        <v>0</v>
      </c>
      <c r="H55" s="210">
        <f>'A9-Asset'!H20</f>
        <v>0</v>
      </c>
      <c r="I55" s="211">
        <f>'A9-Asset'!I20</f>
        <v>0</v>
      </c>
      <c r="J55" s="207">
        <f>'A9-Asset'!J20</f>
        <v>0</v>
      </c>
      <c r="K55" s="558">
        <f>'A9-Asset'!K20</f>
        <v>0</v>
      </c>
      <c r="L55" s="369"/>
    </row>
    <row r="56" spans="1:12" ht="11.25" customHeight="1" x14ac:dyDescent="0.25">
      <c r="A56" s="1161" t="s">
        <v>444</v>
      </c>
      <c r="B56" s="1126">
        <f>'A9-Asset'!C69</f>
        <v>0</v>
      </c>
      <c r="C56" s="207">
        <f>'A9-Asset'!D69</f>
        <v>25994364</v>
      </c>
      <c r="D56" s="557">
        <f>'A9-Asset'!E69</f>
        <v>19558082.859999999</v>
      </c>
      <c r="E56" s="211">
        <f>'A9-Asset'!F69</f>
        <v>17850000</v>
      </c>
      <c r="F56" s="207">
        <f>'A9-Asset'!G69</f>
        <v>13128294.41</v>
      </c>
      <c r="G56" s="558">
        <f>'A9-Asset'!H69</f>
        <v>13128294.41</v>
      </c>
      <c r="H56" s="210">
        <f>'A9-Asset'!I69</f>
        <v>19090000</v>
      </c>
      <c r="I56" s="211">
        <f>'A9-Asset'!I69</f>
        <v>19090000</v>
      </c>
      <c r="J56" s="207">
        <f>'A9-Asset'!J69</f>
        <v>20216310</v>
      </c>
      <c r="K56" s="558">
        <f>'A9-Asset'!K69</f>
        <v>21348423.359999999</v>
      </c>
      <c r="L56" s="369"/>
    </row>
    <row r="57" spans="1:12" ht="5.0999999999999996" customHeight="1" x14ac:dyDescent="0.25">
      <c r="A57" s="1162"/>
      <c r="B57" s="912"/>
      <c r="C57" s="910"/>
      <c r="D57" s="911"/>
      <c r="E57" s="912"/>
      <c r="F57" s="910"/>
      <c r="G57" s="911"/>
      <c r="H57" s="913"/>
      <c r="I57" s="912"/>
      <c r="J57" s="910"/>
      <c r="K57" s="911"/>
      <c r="L57" s="369"/>
    </row>
    <row r="58" spans="1:12" ht="11.25" customHeight="1" x14ac:dyDescent="0.25">
      <c r="A58" s="1160" t="s">
        <v>805</v>
      </c>
      <c r="B58" s="158"/>
      <c r="C58" s="159"/>
      <c r="D58" s="160"/>
      <c r="E58" s="158"/>
      <c r="F58" s="159"/>
      <c r="G58" s="160"/>
      <c r="H58" s="161"/>
      <c r="I58" s="162"/>
      <c r="J58" s="163"/>
      <c r="K58" s="164"/>
      <c r="L58" s="369"/>
    </row>
    <row r="59" spans="1:12" ht="11.25" customHeight="1" x14ac:dyDescent="0.25">
      <c r="A59" s="1524" t="s">
        <v>807</v>
      </c>
      <c r="B59" s="1126">
        <f>'A10-SerDel'!C59</f>
        <v>8794900</v>
      </c>
      <c r="C59" s="207">
        <f>'A10-SerDel'!D59</f>
        <v>13542258.27</v>
      </c>
      <c r="D59" s="557">
        <f>'A10-SerDel'!E59</f>
        <v>0</v>
      </c>
      <c r="E59" s="211">
        <f>'A10-SerDel'!F59</f>
        <v>15876543.648256002</v>
      </c>
      <c r="F59" s="207">
        <f>'A10-SerDel'!G59</f>
        <v>15213737.268256001</v>
      </c>
      <c r="G59" s="558">
        <f>'A10-SerDel'!H59</f>
        <v>15213737.268256001</v>
      </c>
      <c r="H59" s="210">
        <f>'A10-SerDel'!I59</f>
        <v>14261640</v>
      </c>
      <c r="I59" s="211">
        <f>'A10-SerDel'!I59</f>
        <v>14261640</v>
      </c>
      <c r="J59" s="207">
        <f>'A10-SerDel'!J59</f>
        <v>15103076.76</v>
      </c>
      <c r="K59" s="558">
        <f>'A10-SerDel'!K59</f>
        <v>15948849.058560001</v>
      </c>
      <c r="L59" s="369"/>
    </row>
    <row r="60" spans="1:12" ht="11.25" customHeight="1" x14ac:dyDescent="0.25">
      <c r="A60" s="1524" t="s">
        <v>496</v>
      </c>
      <c r="B60" s="1126">
        <f>'A10-SerDel'!C78</f>
        <v>15000</v>
      </c>
      <c r="C60" s="207">
        <f>'A10-SerDel'!D78</f>
        <v>15000</v>
      </c>
      <c r="D60" s="557">
        <f>'A10-SerDel'!E78</f>
        <v>0</v>
      </c>
      <c r="E60" s="211">
        <f>'A10-SerDel'!F78</f>
        <v>9171600</v>
      </c>
      <c r="F60" s="207">
        <f>'A10-SerDel'!G78</f>
        <v>9171600</v>
      </c>
      <c r="G60" s="558">
        <f>'A10-SerDel'!H78</f>
        <v>9171600</v>
      </c>
      <c r="H60" s="210">
        <f>'A10-SerDel'!I78</f>
        <v>14276640</v>
      </c>
      <c r="I60" s="211">
        <f>'A10-SerDel'!I78</f>
        <v>14276640</v>
      </c>
      <c r="J60" s="207">
        <f>'A10-SerDel'!J78</f>
        <v>15118961.76</v>
      </c>
      <c r="K60" s="558">
        <f>'A10-SerDel'!K78</f>
        <v>15965623.618560001</v>
      </c>
      <c r="L60" s="369"/>
    </row>
    <row r="61" spans="1:12" ht="11.25" customHeight="1" x14ac:dyDescent="0.25">
      <c r="A61" s="1526" t="s">
        <v>806</v>
      </c>
      <c r="B61" s="162"/>
      <c r="C61" s="163"/>
      <c r="D61" s="164"/>
      <c r="E61" s="162"/>
      <c r="F61" s="163"/>
      <c r="G61" s="164"/>
      <c r="H61" s="610"/>
      <c r="I61" s="162"/>
      <c r="J61" s="163"/>
      <c r="K61" s="164"/>
      <c r="L61" s="369"/>
    </row>
    <row r="62" spans="1:12" ht="11.25" customHeight="1" x14ac:dyDescent="0.25">
      <c r="A62" s="1343" t="str">
        <f>'A10-SerDel'!A5</f>
        <v>Water:</v>
      </c>
      <c r="B62" s="258">
        <f>'A10-SerDel'!C14</f>
        <v>0</v>
      </c>
      <c r="C62" s="256">
        <f>'A10-SerDel'!D14</f>
        <v>0</v>
      </c>
      <c r="D62" s="262">
        <f>'A10-SerDel'!E14</f>
        <v>0</v>
      </c>
      <c r="E62" s="258">
        <f>'A10-SerDel'!F14</f>
        <v>0</v>
      </c>
      <c r="F62" s="256">
        <f>'A10-SerDel'!G14</f>
        <v>0</v>
      </c>
      <c r="G62" s="262">
        <f>'A10-SerDel'!H14</f>
        <v>0</v>
      </c>
      <c r="H62" s="261">
        <f>'A10-SerDel'!I14</f>
        <v>9527</v>
      </c>
      <c r="I62" s="258">
        <f>'A10-SerDel'!I14</f>
        <v>9527</v>
      </c>
      <c r="J62" s="256">
        <f>'A10-SerDel'!J14</f>
        <v>10089.093000000001</v>
      </c>
      <c r="K62" s="262">
        <f>'A10-SerDel'!K14</f>
        <v>10654.082208</v>
      </c>
      <c r="L62" s="369"/>
    </row>
    <row r="63" spans="1:12" ht="11.25" customHeight="1" x14ac:dyDescent="0.25">
      <c r="A63" s="1343" t="str">
        <f>'A10-SerDel'!A16</f>
        <v>Sanitation/sewerage:</v>
      </c>
      <c r="B63" s="258">
        <f>'A10-SerDel'!C26</f>
        <v>0</v>
      </c>
      <c r="C63" s="256">
        <f>'A10-SerDel'!D26</f>
        <v>0</v>
      </c>
      <c r="D63" s="262">
        <f>'A10-SerDel'!E26</f>
        <v>0</v>
      </c>
      <c r="E63" s="258">
        <f>'A10-SerDel'!F26</f>
        <v>0</v>
      </c>
      <c r="F63" s="256">
        <f>'A10-SerDel'!G26</f>
        <v>0</v>
      </c>
      <c r="G63" s="262">
        <f>'A10-SerDel'!H26</f>
        <v>0</v>
      </c>
      <c r="H63" s="261">
        <f>'A10-SerDel'!I26</f>
        <v>0</v>
      </c>
      <c r="I63" s="258">
        <f>'A10-SerDel'!I26</f>
        <v>0</v>
      </c>
      <c r="J63" s="256">
        <f>'A10-SerDel'!J26</f>
        <v>0</v>
      </c>
      <c r="K63" s="262">
        <f>'A10-SerDel'!K26</f>
        <v>0</v>
      </c>
      <c r="L63" s="369"/>
    </row>
    <row r="64" spans="1:12" ht="11.25" customHeight="1" x14ac:dyDescent="0.25">
      <c r="A64" s="1343" t="str">
        <f>'A10-SerDel'!A28</f>
        <v>Energy:</v>
      </c>
      <c r="B64" s="258">
        <f>'A10-SerDel'!C35</f>
        <v>0</v>
      </c>
      <c r="C64" s="256">
        <f>'A10-SerDel'!D35</f>
        <v>0</v>
      </c>
      <c r="D64" s="262">
        <f>'A10-SerDel'!E35</f>
        <v>0</v>
      </c>
      <c r="E64" s="258">
        <f>'A10-SerDel'!F35</f>
        <v>0</v>
      </c>
      <c r="F64" s="256">
        <f>'A10-SerDel'!G35</f>
        <v>0</v>
      </c>
      <c r="G64" s="262">
        <f>'A10-SerDel'!H35</f>
        <v>0</v>
      </c>
      <c r="H64" s="261">
        <f>'A10-SerDel'!I35</f>
        <v>0</v>
      </c>
      <c r="I64" s="258">
        <f>'A10-SerDel'!I35</f>
        <v>0</v>
      </c>
      <c r="J64" s="256">
        <f>'A10-SerDel'!J35</f>
        <v>0</v>
      </c>
      <c r="K64" s="262">
        <f>'A10-SerDel'!K35</f>
        <v>0</v>
      </c>
      <c r="L64" s="369"/>
    </row>
    <row r="65" spans="1:12" ht="11.25" customHeight="1" x14ac:dyDescent="0.25">
      <c r="A65" s="1343" t="str">
        <f>'A10-SerDel'!A37</f>
        <v>Refuse:</v>
      </c>
      <c r="B65" s="258">
        <f>'A10-SerDel'!C45</f>
        <v>0</v>
      </c>
      <c r="C65" s="256">
        <f>'A10-SerDel'!D45</f>
        <v>0</v>
      </c>
      <c r="D65" s="262">
        <f>'A10-SerDel'!E45</f>
        <v>0</v>
      </c>
      <c r="E65" s="258">
        <f>'A10-SerDel'!F45</f>
        <v>0</v>
      </c>
      <c r="F65" s="256">
        <f>'A10-SerDel'!G45</f>
        <v>0</v>
      </c>
      <c r="G65" s="262">
        <f>'A10-SerDel'!H45</f>
        <v>0</v>
      </c>
      <c r="H65" s="261">
        <f>'A10-SerDel'!I45</f>
        <v>0</v>
      </c>
      <c r="I65" s="258">
        <f>'A10-SerDel'!I45</f>
        <v>0</v>
      </c>
      <c r="J65" s="256">
        <f>'A10-SerDel'!J45</f>
        <v>0</v>
      </c>
      <c r="K65" s="262">
        <f>'A10-SerDel'!K45</f>
        <v>0</v>
      </c>
      <c r="L65" s="369"/>
    </row>
    <row r="66" spans="1:12" ht="5.0999999999999996" customHeight="1" x14ac:dyDescent="0.25">
      <c r="A66" s="1162"/>
      <c r="B66" s="912"/>
      <c r="C66" s="910"/>
      <c r="D66" s="911"/>
      <c r="E66" s="912"/>
      <c r="F66" s="910"/>
      <c r="G66" s="911"/>
      <c r="H66" s="913"/>
      <c r="I66" s="912"/>
      <c r="J66" s="910"/>
      <c r="K66" s="911"/>
      <c r="L66" s="369"/>
    </row>
    <row r="67" spans="1:12" ht="4.5" customHeight="1" x14ac:dyDescent="0.25">
      <c r="A67" s="246"/>
      <c r="B67" s="161"/>
      <c r="C67" s="161"/>
      <c r="D67" s="161"/>
      <c r="E67" s="161"/>
      <c r="F67" s="161"/>
      <c r="G67" s="161"/>
      <c r="H67" s="161"/>
      <c r="I67" s="161"/>
      <c r="J67" s="161"/>
      <c r="K67" s="161"/>
    </row>
    <row r="68" spans="1:12" x14ac:dyDescent="0.25">
      <c r="A68" s="178"/>
      <c r="B68" s="178"/>
      <c r="C68" s="178"/>
      <c r="D68" s="178"/>
      <c r="E68" s="178"/>
      <c r="F68" s="178"/>
      <c r="G68" s="178"/>
      <c r="H68" s="178"/>
      <c r="I68" s="178"/>
      <c r="J68" s="178"/>
      <c r="K68" s="178"/>
    </row>
  </sheetData>
  <sheetProtection sheet="1" objects="1" scenarios="1"/>
  <customSheetViews>
    <customSheetView guid="{F50C5479-5CC4-4FD7-8319-543D29E829F0}" showGridLines="0" fitToPage="1">
      <pane xSplit="1" ySplit="3" topLeftCell="B4" activePane="bottomRight" state="frozen"/>
      <selection pane="bottomRight" activeCell="B2" sqref="B2"/>
      <pageMargins left="0.35" right="0.2" top="0.78740157480314998" bottom="0.59055118110236204" header="0.511811023622047" footer="0.39370078740157499"/>
      <printOptions horizontalCentered="1"/>
      <pageSetup paperSize="9" scale="83" orientation="portrait" r:id="rId1"/>
      <headerFooter alignWithMargins="0"/>
    </customSheetView>
  </customSheetViews>
  <mergeCells count="3">
    <mergeCell ref="I2:K2"/>
    <mergeCell ref="E2:H2"/>
    <mergeCell ref="A1:C1"/>
  </mergeCells>
  <phoneticPr fontId="2" type="noConversion"/>
  <printOptions horizontalCentered="1"/>
  <pageMargins left="0.35" right="0.2" top="0.78740157480314998" bottom="0.59055118110236204" header="0.511811023622047" footer="0.39370078740157499"/>
  <pageSetup paperSize="9" scale="8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pageSetUpPr fitToPage="1"/>
  </sheetPr>
  <dimension ref="A1:R92"/>
  <sheetViews>
    <sheetView showGridLines="0" zoomScaleNormal="100" workbookViewId="0">
      <pane xSplit="2" ySplit="3" topLeftCell="C4" activePane="bottomRight" state="frozen"/>
      <selection pane="topRight"/>
      <selection pane="bottomLeft"/>
      <selection pane="bottomRight" activeCell="I10" sqref="I10"/>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tr">
        <f>muni&amp;" - "&amp;Approve3</f>
        <v>MP315 Thembisile Hani - Table A2 Budgeted Financial Performance (revenue and expenditure by standard classification)</v>
      </c>
      <c r="B1" s="248"/>
      <c r="C1" s="248"/>
      <c r="D1" s="248"/>
      <c r="E1" s="248"/>
      <c r="F1" s="248"/>
      <c r="G1" s="248"/>
      <c r="H1" s="248"/>
      <c r="I1" s="248"/>
      <c r="J1" s="248"/>
      <c r="K1" s="248"/>
    </row>
    <row r="2" spans="1:18" ht="28.5" customHeight="1" x14ac:dyDescent="0.25">
      <c r="A2" s="970" t="str">
        <f>"Standard Classification "&amp;desc</f>
        <v>Standard Classification Description</v>
      </c>
      <c r="B2" s="418" t="str">
        <f>head27</f>
        <v>Ref</v>
      </c>
      <c r="C2" s="150"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8" ht="25.5" x14ac:dyDescent="0.25">
      <c r="A3" s="180" t="s">
        <v>662</v>
      </c>
      <c r="B3" s="981">
        <v>1</v>
      </c>
      <c r="C3" s="389" t="str">
        <f>Head5</f>
        <v>Audited Outcome</v>
      </c>
      <c r="D3" s="389"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8" ht="11.25" customHeight="1" x14ac:dyDescent="0.25">
      <c r="A4" s="249" t="s">
        <v>429</v>
      </c>
      <c r="B4" s="182"/>
      <c r="C4" s="184"/>
      <c r="D4" s="184"/>
      <c r="E4" s="185"/>
      <c r="F4" s="186"/>
      <c r="G4" s="184"/>
      <c r="H4" s="183"/>
      <c r="I4" s="187"/>
      <c r="J4" s="184"/>
      <c r="K4" s="185"/>
      <c r="L4" s="369"/>
    </row>
    <row r="5" spans="1:18" ht="11.25" customHeight="1" x14ac:dyDescent="0.25">
      <c r="A5" s="1266" t="s">
        <v>1122</v>
      </c>
      <c r="B5" s="1183"/>
      <c r="C5" s="1126">
        <f>SUM(C6:C8)</f>
        <v>342124000</v>
      </c>
      <c r="D5" s="1126">
        <f t="shared" ref="D5:K5" si="0">SUM(D6:D8)</f>
        <v>323216600</v>
      </c>
      <c r="E5" s="1406">
        <f t="shared" si="0"/>
        <v>338986598</v>
      </c>
      <c r="F5" s="1130">
        <f t="shared" si="0"/>
        <v>290860299.35799998</v>
      </c>
      <c r="G5" s="1126">
        <f t="shared" si="0"/>
        <v>308811169.61799997</v>
      </c>
      <c r="H5" s="1407">
        <f t="shared" si="0"/>
        <v>308811169.61799997</v>
      </c>
      <c r="I5" s="1408">
        <f t="shared" si="0"/>
        <v>381745233.52999997</v>
      </c>
      <c r="J5" s="1126">
        <f t="shared" si="0"/>
        <v>404268202.30826992</v>
      </c>
      <c r="K5" s="1407">
        <f t="shared" si="0"/>
        <v>426907221.63753319</v>
      </c>
      <c r="L5" s="369"/>
      <c r="Q5" s="252"/>
      <c r="R5" s="253"/>
    </row>
    <row r="6" spans="1:18" ht="11.25" customHeight="1" x14ac:dyDescent="0.25">
      <c r="A6" s="1267" t="s">
        <v>142</v>
      </c>
      <c r="B6" s="1183"/>
      <c r="C6" s="1059">
        <f>A2A!C6</f>
        <v>342124000</v>
      </c>
      <c r="D6" s="1059">
        <f>A2A!D6</f>
        <v>49553000</v>
      </c>
      <c r="E6" s="1060">
        <f>A2A!E6</f>
        <v>0</v>
      </c>
      <c r="F6" s="1061">
        <f>A2A!F6</f>
        <v>0</v>
      </c>
      <c r="G6" s="1059">
        <f>A2A!G6</f>
        <v>0</v>
      </c>
      <c r="H6" s="1062">
        <f>A2A!H6</f>
        <v>0</v>
      </c>
      <c r="I6" s="1063">
        <f>A2A!I6</f>
        <v>0</v>
      </c>
      <c r="J6" s="1059">
        <f>A2A!J6</f>
        <v>0</v>
      </c>
      <c r="K6" s="1060">
        <f>A2A!K6</f>
        <v>0</v>
      </c>
      <c r="L6" s="369"/>
      <c r="Q6" s="252"/>
      <c r="R6" s="253"/>
    </row>
    <row r="7" spans="1:18" ht="11.25" customHeight="1" x14ac:dyDescent="0.25">
      <c r="A7" s="1267" t="s">
        <v>143</v>
      </c>
      <c r="B7" s="1183"/>
      <c r="C7" s="1460">
        <f>A2A!C9</f>
        <v>0</v>
      </c>
      <c r="D7" s="1460">
        <f>A2A!D9</f>
        <v>273663600</v>
      </c>
      <c r="E7" s="1461">
        <f>A2A!E9</f>
        <v>338986598</v>
      </c>
      <c r="F7" s="1462">
        <f>A2A!F9</f>
        <v>290860299.35799998</v>
      </c>
      <c r="G7" s="1460">
        <f>A2A!G9</f>
        <v>308811169.61799997</v>
      </c>
      <c r="H7" s="1463">
        <f>A2A!H9</f>
        <v>308811169.61799997</v>
      </c>
      <c r="I7" s="1464">
        <f>A2A!I9</f>
        <v>381745233.52999997</v>
      </c>
      <c r="J7" s="1460">
        <f>A2A!J9</f>
        <v>404268202.30826992</v>
      </c>
      <c r="K7" s="1461">
        <f>A2A!K9</f>
        <v>426907221.63753319</v>
      </c>
      <c r="L7" s="369"/>
      <c r="Q7" s="252"/>
      <c r="R7" s="253"/>
    </row>
    <row r="8" spans="1:18" ht="11.25" customHeight="1" x14ac:dyDescent="0.25">
      <c r="A8" s="1267" t="s">
        <v>144</v>
      </c>
      <c r="B8" s="1183"/>
      <c r="C8" s="1059">
        <f>A2A!C10</f>
        <v>0</v>
      </c>
      <c r="D8" s="1059">
        <f>A2A!D10</f>
        <v>0</v>
      </c>
      <c r="E8" s="1060">
        <f>A2A!E10</f>
        <v>0</v>
      </c>
      <c r="F8" s="1061">
        <f>A2A!F10</f>
        <v>0</v>
      </c>
      <c r="G8" s="1059">
        <f>A2A!G10</f>
        <v>0</v>
      </c>
      <c r="H8" s="1062">
        <f>A2A!H10</f>
        <v>0</v>
      </c>
      <c r="I8" s="1063">
        <f>A2A!I10</f>
        <v>0</v>
      </c>
      <c r="J8" s="1059">
        <f>A2A!J10</f>
        <v>0</v>
      </c>
      <c r="K8" s="1060">
        <f>A2A!K10</f>
        <v>0</v>
      </c>
      <c r="L8" s="369"/>
      <c r="Q8" s="252"/>
      <c r="R8" s="253"/>
    </row>
    <row r="9" spans="1:18" ht="11.25" customHeight="1" x14ac:dyDescent="0.25">
      <c r="A9" s="1266" t="s">
        <v>145</v>
      </c>
      <c r="B9" s="1183"/>
      <c r="C9" s="1126">
        <f>SUM(C10:C14)</f>
        <v>0</v>
      </c>
      <c r="D9" s="1126">
        <f t="shared" ref="D9:K9" si="1">SUM(D10:D14)</f>
        <v>2235511</v>
      </c>
      <c r="E9" s="1127">
        <f t="shared" si="1"/>
        <v>4337689</v>
      </c>
      <c r="F9" s="1128">
        <f t="shared" si="1"/>
        <v>7667172.9000000004</v>
      </c>
      <c r="G9" s="1126">
        <f t="shared" si="1"/>
        <v>8901600.9000000004</v>
      </c>
      <c r="H9" s="1129">
        <f t="shared" si="1"/>
        <v>8901600.9000000004</v>
      </c>
      <c r="I9" s="1130">
        <f t="shared" si="1"/>
        <v>28958554.260000002</v>
      </c>
      <c r="J9" s="1126">
        <f t="shared" si="1"/>
        <v>30667108.961340003</v>
      </c>
      <c r="K9" s="1127">
        <f t="shared" si="1"/>
        <v>32384467.063175038</v>
      </c>
      <c r="L9" s="369"/>
      <c r="Q9" s="252"/>
      <c r="R9" s="253"/>
    </row>
    <row r="10" spans="1:18" ht="11.25" customHeight="1" x14ac:dyDescent="0.25">
      <c r="A10" s="1267" t="s">
        <v>146</v>
      </c>
      <c r="B10" s="1183"/>
      <c r="C10" s="1059">
        <f>A2A!C16</f>
        <v>0</v>
      </c>
      <c r="D10" s="1059">
        <f>A2A!D16</f>
        <v>2235511</v>
      </c>
      <c r="E10" s="1060">
        <f>A2A!E16</f>
        <v>4337689</v>
      </c>
      <c r="F10" s="1061">
        <f>A2A!F16</f>
        <v>1390246.21</v>
      </c>
      <c r="G10" s="1059">
        <f>A2A!G16</f>
        <v>2162699.2999999998</v>
      </c>
      <c r="H10" s="1062">
        <f>A2A!H16</f>
        <v>2162699.2999999998</v>
      </c>
      <c r="I10" s="1063">
        <f>A2A!I16</f>
        <v>21322154.260000002</v>
      </c>
      <c r="J10" s="1059">
        <f>A2A!J16</f>
        <v>22580161.361340001</v>
      </c>
      <c r="K10" s="1060">
        <f>A2A!K16</f>
        <v>23844650.397575036</v>
      </c>
      <c r="L10" s="369"/>
      <c r="N10" s="369"/>
      <c r="Q10" s="252"/>
      <c r="R10" s="253"/>
    </row>
    <row r="11" spans="1:18" ht="11.25" customHeight="1" x14ac:dyDescent="0.25">
      <c r="A11" s="1267" t="s">
        <v>147</v>
      </c>
      <c r="B11" s="1183"/>
      <c r="C11" s="1059">
        <f>A2A!C25</f>
        <v>0</v>
      </c>
      <c r="D11" s="1059">
        <f>A2A!D25</f>
        <v>0</v>
      </c>
      <c r="E11" s="1060">
        <f>A2A!E25</f>
        <v>0</v>
      </c>
      <c r="F11" s="1061">
        <f>A2A!F25</f>
        <v>0</v>
      </c>
      <c r="G11" s="1059">
        <f>A2A!G25</f>
        <v>0</v>
      </c>
      <c r="H11" s="1062">
        <f>A2A!H25</f>
        <v>0</v>
      </c>
      <c r="I11" s="1063">
        <f>A2A!I25</f>
        <v>0</v>
      </c>
      <c r="J11" s="1059">
        <f>A2A!J25</f>
        <v>0</v>
      </c>
      <c r="K11" s="1060">
        <f>A2A!K25</f>
        <v>0</v>
      </c>
      <c r="L11" s="369"/>
      <c r="Q11" s="252"/>
      <c r="R11" s="253"/>
    </row>
    <row r="12" spans="1:18" ht="11.25" customHeight="1" x14ac:dyDescent="0.25">
      <c r="A12" s="1267" t="s">
        <v>148</v>
      </c>
      <c r="B12" s="1183"/>
      <c r="C12" s="1059">
        <f>A2A!C26</f>
        <v>0</v>
      </c>
      <c r="D12" s="1059">
        <f>A2A!D26</f>
        <v>0</v>
      </c>
      <c r="E12" s="1060">
        <f>A2A!E26</f>
        <v>0</v>
      </c>
      <c r="F12" s="1061">
        <f>A2A!F26</f>
        <v>6276926.6900000004</v>
      </c>
      <c r="G12" s="1059">
        <f>A2A!G26</f>
        <v>6738901.6000000006</v>
      </c>
      <c r="H12" s="1062">
        <f>A2A!H26</f>
        <v>6738901.6000000006</v>
      </c>
      <c r="I12" s="1063">
        <f>A2A!I26</f>
        <v>7636400</v>
      </c>
      <c r="J12" s="1059">
        <f>A2A!J26</f>
        <v>8086947.5999999996</v>
      </c>
      <c r="K12" s="1060">
        <f>A2A!K26</f>
        <v>8539816.6655999999</v>
      </c>
      <c r="L12" s="369"/>
      <c r="Q12" s="252"/>
      <c r="R12" s="253"/>
    </row>
    <row r="13" spans="1:18" ht="11.25" customHeight="1" x14ac:dyDescent="0.25">
      <c r="A13" s="1267" t="s">
        <v>1702</v>
      </c>
      <c r="B13" s="1183"/>
      <c r="C13" s="1059">
        <f>A2A!C32</f>
        <v>0</v>
      </c>
      <c r="D13" s="1059">
        <f>A2A!D32</f>
        <v>0</v>
      </c>
      <c r="E13" s="1060">
        <f>A2A!E32</f>
        <v>0</v>
      </c>
      <c r="F13" s="1061">
        <f>A2A!F32</f>
        <v>0</v>
      </c>
      <c r="G13" s="1059">
        <f>A2A!G32</f>
        <v>0</v>
      </c>
      <c r="H13" s="1062">
        <f>A2A!H32</f>
        <v>0</v>
      </c>
      <c r="I13" s="1063">
        <f>A2A!I32</f>
        <v>0</v>
      </c>
      <c r="J13" s="1059">
        <f>A2A!J32</f>
        <v>0</v>
      </c>
      <c r="K13" s="1060">
        <f>A2A!K32</f>
        <v>0</v>
      </c>
      <c r="L13" s="369"/>
      <c r="Q13" s="252"/>
      <c r="R13" s="253"/>
    </row>
    <row r="14" spans="1:18" ht="11.25" customHeight="1" x14ac:dyDescent="0.25">
      <c r="A14" s="1267" t="s">
        <v>1781</v>
      </c>
      <c r="B14" s="1183"/>
      <c r="C14" s="1460">
        <f>A2A!C33</f>
        <v>0</v>
      </c>
      <c r="D14" s="1460">
        <f>A2A!D33</f>
        <v>0</v>
      </c>
      <c r="E14" s="1461">
        <f>A2A!E33</f>
        <v>0</v>
      </c>
      <c r="F14" s="1462">
        <f>A2A!F33</f>
        <v>0</v>
      </c>
      <c r="G14" s="1460">
        <f>A2A!G33</f>
        <v>0</v>
      </c>
      <c r="H14" s="1463">
        <f>A2A!H33</f>
        <v>0</v>
      </c>
      <c r="I14" s="1464">
        <f>A2A!I33</f>
        <v>0</v>
      </c>
      <c r="J14" s="1460">
        <f>A2A!J33</f>
        <v>0</v>
      </c>
      <c r="K14" s="1461">
        <f>A2A!K33</f>
        <v>0</v>
      </c>
      <c r="L14" s="369"/>
      <c r="Q14" s="252"/>
      <c r="R14" s="253"/>
    </row>
    <row r="15" spans="1:18" ht="11.25" customHeight="1" x14ac:dyDescent="0.25">
      <c r="A15" s="1266" t="s">
        <v>149</v>
      </c>
      <c r="B15" s="1125"/>
      <c r="C15" s="1126">
        <f>SUM(C16:C18)</f>
        <v>0</v>
      </c>
      <c r="D15" s="1126">
        <f t="shared" ref="D15:K15" si="2">SUM(D16:D18)</f>
        <v>142850534</v>
      </c>
      <c r="E15" s="1127">
        <f t="shared" si="2"/>
        <v>98744152</v>
      </c>
      <c r="F15" s="1128">
        <f t="shared" si="2"/>
        <v>116003074.3</v>
      </c>
      <c r="G15" s="1126">
        <f t="shared" si="2"/>
        <v>115466912.36999999</v>
      </c>
      <c r="H15" s="1129">
        <f t="shared" si="2"/>
        <v>115466912.36999999</v>
      </c>
      <c r="I15" s="1130">
        <f t="shared" si="2"/>
        <v>119297042.98</v>
      </c>
      <c r="J15" s="1126">
        <f t="shared" si="2"/>
        <v>126335568.51582</v>
      </c>
      <c r="K15" s="1127">
        <f t="shared" si="2"/>
        <v>133410360.35270593</v>
      </c>
      <c r="L15" s="369"/>
      <c r="Q15" s="252"/>
      <c r="R15" s="253"/>
    </row>
    <row r="16" spans="1:18" ht="11.25" customHeight="1" x14ac:dyDescent="0.25">
      <c r="A16" s="1267" t="s">
        <v>150</v>
      </c>
      <c r="B16" s="1183"/>
      <c r="C16" s="1059">
        <f>A2A!C38</f>
        <v>0</v>
      </c>
      <c r="D16" s="1059">
        <f>A2A!D38</f>
        <v>142850534</v>
      </c>
      <c r="E16" s="1060">
        <f>A2A!E38</f>
        <v>98744152</v>
      </c>
      <c r="F16" s="1061">
        <f>A2A!F38</f>
        <v>116003074.3</v>
      </c>
      <c r="G16" s="1059">
        <f>A2A!G38</f>
        <v>115466912.36999999</v>
      </c>
      <c r="H16" s="1062">
        <f>A2A!H38</f>
        <v>115466912.36999999</v>
      </c>
      <c r="I16" s="1063">
        <f>A2A!I38</f>
        <v>119297042.98</v>
      </c>
      <c r="J16" s="1059">
        <f>A2A!J38</f>
        <v>126335568.51582</v>
      </c>
      <c r="K16" s="1060">
        <f>A2A!K38</f>
        <v>133410360.35270593</v>
      </c>
      <c r="L16" s="369"/>
      <c r="Q16" s="252"/>
      <c r="R16" s="253"/>
    </row>
    <row r="17" spans="1:18" ht="11.25" customHeight="1" x14ac:dyDescent="0.25">
      <c r="A17" s="1267" t="s">
        <v>151</v>
      </c>
      <c r="B17" s="1183"/>
      <c r="C17" s="1059">
        <f>A2A!C42</f>
        <v>0</v>
      </c>
      <c r="D17" s="1059">
        <f>A2A!D42</f>
        <v>0</v>
      </c>
      <c r="E17" s="1060">
        <f>A2A!E42</f>
        <v>0</v>
      </c>
      <c r="F17" s="1061">
        <f>A2A!F42</f>
        <v>0</v>
      </c>
      <c r="G17" s="1059">
        <f>A2A!G42</f>
        <v>0</v>
      </c>
      <c r="H17" s="1062">
        <f>A2A!H42</f>
        <v>0</v>
      </c>
      <c r="I17" s="1063">
        <f>A2A!I42</f>
        <v>0</v>
      </c>
      <c r="J17" s="1059">
        <f>A2A!J42</f>
        <v>0</v>
      </c>
      <c r="K17" s="1060">
        <f>A2A!K42</f>
        <v>0</v>
      </c>
      <c r="L17" s="369"/>
      <c r="Q17" s="252"/>
      <c r="R17" s="253"/>
    </row>
    <row r="18" spans="1:18" ht="11.25" customHeight="1" x14ac:dyDescent="0.25">
      <c r="A18" s="1267" t="s">
        <v>152</v>
      </c>
      <c r="B18" s="1183"/>
      <c r="C18" s="1059">
        <f>A2A!C48</f>
        <v>0</v>
      </c>
      <c r="D18" s="1059">
        <f>A2A!D48</f>
        <v>0</v>
      </c>
      <c r="E18" s="1060">
        <f>A2A!E48</f>
        <v>0</v>
      </c>
      <c r="F18" s="1061">
        <f>A2A!F48</f>
        <v>0</v>
      </c>
      <c r="G18" s="1059">
        <f>A2A!G48</f>
        <v>0</v>
      </c>
      <c r="H18" s="1062">
        <f>A2A!H48</f>
        <v>0</v>
      </c>
      <c r="I18" s="1063">
        <f>A2A!I48</f>
        <v>0</v>
      </c>
      <c r="J18" s="1059">
        <f>A2A!J48</f>
        <v>0</v>
      </c>
      <c r="K18" s="1060">
        <f>A2A!K48</f>
        <v>0</v>
      </c>
      <c r="L18" s="369"/>
      <c r="Q18" s="252"/>
      <c r="R18" s="253"/>
    </row>
    <row r="19" spans="1:18" ht="11.25" customHeight="1" x14ac:dyDescent="0.25">
      <c r="A19" s="1266" t="s">
        <v>153</v>
      </c>
      <c r="B19" s="1125"/>
      <c r="C19" s="1126">
        <f>SUM(C20:C23)</f>
        <v>39405743</v>
      </c>
      <c r="D19" s="1126">
        <f t="shared" ref="D19:K19" si="3">SUM(D20:D23)</f>
        <v>42498891</v>
      </c>
      <c r="E19" s="1127">
        <f t="shared" si="3"/>
        <v>59756287</v>
      </c>
      <c r="F19" s="1128">
        <f t="shared" si="3"/>
        <v>59229576.430000007</v>
      </c>
      <c r="G19" s="1126">
        <f t="shared" si="3"/>
        <v>68391024.700000003</v>
      </c>
      <c r="H19" s="1129">
        <f t="shared" si="3"/>
        <v>68391024.700000003</v>
      </c>
      <c r="I19" s="1130">
        <f t="shared" si="3"/>
        <v>79075246.019999996</v>
      </c>
      <c r="J19" s="1126">
        <f>SUM(J20:J23)</f>
        <v>83740685.535179988</v>
      </c>
      <c r="K19" s="1127">
        <f t="shared" si="3"/>
        <v>88430163.925150096</v>
      </c>
      <c r="L19" s="369"/>
      <c r="Q19" s="252"/>
      <c r="R19" s="253"/>
    </row>
    <row r="20" spans="1:18" ht="11.25" customHeight="1" x14ac:dyDescent="0.25">
      <c r="A20" s="1267" t="s">
        <v>649</v>
      </c>
      <c r="B20" s="1183"/>
      <c r="C20" s="1059">
        <f>A2A!C53</f>
        <v>0</v>
      </c>
      <c r="D20" s="1059">
        <f>A2A!D53</f>
        <v>161456</v>
      </c>
      <c r="E20" s="1060">
        <f>A2A!E53</f>
        <v>2078725</v>
      </c>
      <c r="F20" s="1061">
        <f>A2A!F53</f>
        <v>0</v>
      </c>
      <c r="G20" s="1059">
        <f>A2A!G53</f>
        <v>0</v>
      </c>
      <c r="H20" s="1062">
        <f>A2A!H53</f>
        <v>0</v>
      </c>
      <c r="I20" s="1063">
        <f>A2A!I53</f>
        <v>1100000</v>
      </c>
      <c r="J20" s="1059">
        <f>A2A!J53</f>
        <v>1164900</v>
      </c>
      <c r="K20" s="1060">
        <f>A2A!K53</f>
        <v>1230134.4000000001</v>
      </c>
      <c r="L20" s="369"/>
      <c r="Q20" s="252"/>
      <c r="R20" s="253"/>
    </row>
    <row r="21" spans="1:18" ht="11.25" customHeight="1" x14ac:dyDescent="0.25">
      <c r="A21" s="1267" t="s">
        <v>948</v>
      </c>
      <c r="B21" s="1183"/>
      <c r="C21" s="1059">
        <f>A2A!C56</f>
        <v>34803743</v>
      </c>
      <c r="D21" s="1059">
        <f>A2A!D56</f>
        <v>38174855</v>
      </c>
      <c r="E21" s="1060">
        <f>A2A!E56</f>
        <v>38367295</v>
      </c>
      <c r="F21" s="1061">
        <f>A2A!F56</f>
        <v>50750147.800000004</v>
      </c>
      <c r="G21" s="1059">
        <f>A2A!G56</f>
        <v>50790108.090000004</v>
      </c>
      <c r="H21" s="1062">
        <f>A2A!H56</f>
        <v>50790108.090000004</v>
      </c>
      <c r="I21" s="1063">
        <f>A2A!I56</f>
        <v>57089377.469999999</v>
      </c>
      <c r="J21" s="1059">
        <f>A2A!J56</f>
        <v>60457650.740729995</v>
      </c>
      <c r="K21" s="1060">
        <f>A2A!K56</f>
        <v>63843279.182210885</v>
      </c>
      <c r="L21" s="369"/>
      <c r="Q21" s="252"/>
      <c r="R21" s="253"/>
    </row>
    <row r="22" spans="1:18" ht="11.25" customHeight="1" x14ac:dyDescent="0.25">
      <c r="A22" s="1267" t="s">
        <v>1124</v>
      </c>
      <c r="B22" s="1183"/>
      <c r="C22" s="1460">
        <f>A2A!C59</f>
        <v>631000</v>
      </c>
      <c r="D22" s="1460">
        <f>A2A!D59</f>
        <v>0</v>
      </c>
      <c r="E22" s="1461">
        <f>A2A!E59</f>
        <v>1383804</v>
      </c>
      <c r="F22" s="1462">
        <f>A2A!F59</f>
        <v>1533259.31</v>
      </c>
      <c r="G22" s="1460">
        <f>A2A!G59</f>
        <v>1533259.31</v>
      </c>
      <c r="H22" s="1463">
        <f>A2A!H59</f>
        <v>1533259.31</v>
      </c>
      <c r="I22" s="1464">
        <f>A2A!I59</f>
        <v>2044223.5800000003</v>
      </c>
      <c r="J22" s="1460">
        <f>A2A!J59</f>
        <v>2164832.77122</v>
      </c>
      <c r="K22" s="1461">
        <f>A2A!K59</f>
        <v>2286063.4064083202</v>
      </c>
      <c r="L22" s="369"/>
      <c r="Q22" s="252"/>
      <c r="R22" s="253"/>
    </row>
    <row r="23" spans="1:18" ht="11.25" customHeight="1" x14ac:dyDescent="0.25">
      <c r="A23" s="1267" t="s">
        <v>1125</v>
      </c>
      <c r="B23" s="1183"/>
      <c r="C23" s="1059">
        <f>A2A!C63</f>
        <v>3971000</v>
      </c>
      <c r="D23" s="1059">
        <f>A2A!D63</f>
        <v>4162580</v>
      </c>
      <c r="E23" s="1060">
        <f>A2A!E63</f>
        <v>17926463</v>
      </c>
      <c r="F23" s="1061">
        <f>A2A!F63</f>
        <v>6946169.3200000003</v>
      </c>
      <c r="G23" s="1059">
        <f>A2A!G63</f>
        <v>16067657.299999999</v>
      </c>
      <c r="H23" s="1062">
        <f>A2A!H63</f>
        <v>16067657.299999999</v>
      </c>
      <c r="I23" s="1063">
        <f>A2A!I63</f>
        <v>18841644.969999999</v>
      </c>
      <c r="J23" s="1059">
        <f>A2A!J63</f>
        <v>19953302.023229998</v>
      </c>
      <c r="K23" s="1060">
        <f>A2A!K63</f>
        <v>21070686.936530884</v>
      </c>
      <c r="L23" s="369"/>
      <c r="Q23" s="252"/>
      <c r="R23" s="253"/>
    </row>
    <row r="24" spans="1:18" ht="11.25" customHeight="1" x14ac:dyDescent="0.25">
      <c r="A24" s="1266" t="s">
        <v>292</v>
      </c>
      <c r="B24" s="1125">
        <v>4</v>
      </c>
      <c r="C24" s="1126">
        <f>A2A!C65</f>
        <v>0</v>
      </c>
      <c r="D24" s="1126">
        <f>A2A!D65</f>
        <v>0</v>
      </c>
      <c r="E24" s="1127">
        <f>A2A!E65</f>
        <v>0</v>
      </c>
      <c r="F24" s="1128">
        <f>A2A!F65</f>
        <v>0</v>
      </c>
      <c r="G24" s="1126">
        <f>A2A!G65</f>
        <v>0</v>
      </c>
      <c r="H24" s="1129">
        <f>A2A!H65</f>
        <v>0</v>
      </c>
      <c r="I24" s="1130">
        <f>A2A!I65</f>
        <v>0</v>
      </c>
      <c r="J24" s="1126">
        <f>A2A!J65</f>
        <v>0</v>
      </c>
      <c r="K24" s="1127">
        <f>A2A!K65</f>
        <v>0</v>
      </c>
      <c r="L24" s="369"/>
      <c r="Q24" s="245"/>
      <c r="R24" s="253"/>
    </row>
    <row r="25" spans="1:18" ht="11.25" customHeight="1" x14ac:dyDescent="0.25">
      <c r="A25" s="1361" t="str">
        <f>"Total "&amp;A4</f>
        <v>Total Revenue - Standard</v>
      </c>
      <c r="B25" s="1362">
        <v>2</v>
      </c>
      <c r="C25" s="808">
        <f>C5+C9+C15+C19+C24</f>
        <v>381529743</v>
      </c>
      <c r="D25" s="808">
        <f>D5+D9+D15+D19+D24</f>
        <v>510801536</v>
      </c>
      <c r="E25" s="809">
        <f t="shared" ref="E25:K25" si="4">E5+E9+E15+E19+E24</f>
        <v>501824726</v>
      </c>
      <c r="F25" s="810">
        <f t="shared" si="4"/>
        <v>473760122.98799998</v>
      </c>
      <c r="G25" s="808">
        <f t="shared" si="4"/>
        <v>501570707.58799994</v>
      </c>
      <c r="H25" s="811">
        <f t="shared" si="4"/>
        <v>501570707.58799994</v>
      </c>
      <c r="I25" s="1103">
        <f>I5+I9+I15+I19+I24</f>
        <v>609076076.78999996</v>
      </c>
      <c r="J25" s="808">
        <f t="shared" si="4"/>
        <v>645011565.32060993</v>
      </c>
      <c r="K25" s="809">
        <f t="shared" si="4"/>
        <v>681132212.97856426</v>
      </c>
      <c r="L25" s="369"/>
      <c r="Q25" s="271"/>
      <c r="R25" s="272"/>
    </row>
    <row r="26" spans="1:18" ht="5.0999999999999996" customHeight="1" x14ac:dyDescent="0.25">
      <c r="A26" s="1145"/>
      <c r="B26" s="1183"/>
      <c r="C26" s="207"/>
      <c r="D26" s="207"/>
      <c r="E26" s="264"/>
      <c r="F26" s="251"/>
      <c r="G26" s="207"/>
      <c r="H26" s="210"/>
      <c r="I26" s="211"/>
      <c r="J26" s="207"/>
      <c r="K26" s="264"/>
      <c r="L26" s="369"/>
      <c r="Q26" s="245"/>
    </row>
    <row r="27" spans="1:18" ht="11.25" customHeight="1" x14ac:dyDescent="0.25">
      <c r="A27" s="1124" t="s">
        <v>430</v>
      </c>
      <c r="B27" s="1185"/>
      <c r="C27" s="207"/>
      <c r="D27" s="207"/>
      <c r="E27" s="264"/>
      <c r="F27" s="251"/>
      <c r="G27" s="207"/>
      <c r="H27" s="210"/>
      <c r="I27" s="211"/>
      <c r="J27" s="207"/>
      <c r="K27" s="264"/>
      <c r="L27" s="369"/>
      <c r="Q27" s="245"/>
    </row>
    <row r="28" spans="1:18" ht="11.25" customHeight="1" x14ac:dyDescent="0.25">
      <c r="A28" s="1266" t="str">
        <f>A5</f>
        <v>Governance and administration</v>
      </c>
      <c r="B28" s="1183"/>
      <c r="C28" s="1126">
        <f>SUM(C29:C31)</f>
        <v>367303885</v>
      </c>
      <c r="D28" s="1126">
        <f t="shared" ref="D28:K28" si="5">SUM(D29:D31)</f>
        <v>223970933.15000001</v>
      </c>
      <c r="E28" s="1406">
        <f t="shared" si="5"/>
        <v>387708167</v>
      </c>
      <c r="F28" s="1130">
        <f t="shared" si="5"/>
        <v>328424291.12599999</v>
      </c>
      <c r="G28" s="1126">
        <f t="shared" si="5"/>
        <v>191750218.21999997</v>
      </c>
      <c r="H28" s="1407">
        <f t="shared" si="5"/>
        <v>191750218.21999997</v>
      </c>
      <c r="I28" s="1408">
        <f t="shared" si="5"/>
        <v>360737140.43000001</v>
      </c>
      <c r="J28" s="1126">
        <f t="shared" si="5"/>
        <v>382020631.71537</v>
      </c>
      <c r="K28" s="1407">
        <f t="shared" si="5"/>
        <v>403413787.09143066</v>
      </c>
      <c r="L28" s="369"/>
    </row>
    <row r="29" spans="1:18" ht="11.25" customHeight="1" x14ac:dyDescent="0.25">
      <c r="A29" s="1267" t="str">
        <f t="shared" ref="A29:A47" si="6">A6</f>
        <v>Executive and council</v>
      </c>
      <c r="B29" s="1183"/>
      <c r="C29" s="1059">
        <f>A2A!C75</f>
        <v>367303885</v>
      </c>
      <c r="D29" s="1059">
        <f>A2A!D75</f>
        <v>193435075.56</v>
      </c>
      <c r="E29" s="1060">
        <f>A2A!E75</f>
        <v>323156469</v>
      </c>
      <c r="F29" s="1061">
        <f>A2A!F75</f>
        <v>286978484.12599999</v>
      </c>
      <c r="G29" s="1059">
        <f>A2A!G75</f>
        <v>152774664.95999998</v>
      </c>
      <c r="H29" s="1062">
        <f>A2A!H75</f>
        <v>152774664.95999998</v>
      </c>
      <c r="I29" s="1063">
        <f>A2A!I75</f>
        <v>263580517.51999998</v>
      </c>
      <c r="J29" s="1059">
        <f>A2A!J75</f>
        <v>279131768.05368</v>
      </c>
      <c r="K29" s="1060">
        <f>A2A!K75</f>
        <v>294763147.06468606</v>
      </c>
      <c r="L29" s="369"/>
    </row>
    <row r="30" spans="1:18" ht="11.25" customHeight="1" x14ac:dyDescent="0.25">
      <c r="A30" s="1267" t="str">
        <f t="shared" si="6"/>
        <v>Budget and treasury office</v>
      </c>
      <c r="B30" s="1183"/>
      <c r="C30" s="1460">
        <f>A2A!C78</f>
        <v>0</v>
      </c>
      <c r="D30" s="1460">
        <f>A2A!D78</f>
        <v>17983751.189999998</v>
      </c>
      <c r="E30" s="1461">
        <f>A2A!E78</f>
        <v>30897526</v>
      </c>
      <c r="F30" s="1462">
        <f>A2A!F78</f>
        <v>19870972</v>
      </c>
      <c r="G30" s="1460">
        <f>A2A!G78</f>
        <v>16071339.51</v>
      </c>
      <c r="H30" s="1463">
        <f>A2A!H78</f>
        <v>16071339.51</v>
      </c>
      <c r="I30" s="1464">
        <f>A2A!I78</f>
        <v>72906148</v>
      </c>
      <c r="J30" s="1460">
        <f>A2A!J78</f>
        <v>77207610.731999993</v>
      </c>
      <c r="K30" s="1461">
        <f>A2A!K78</f>
        <v>81531236.932991996</v>
      </c>
      <c r="L30" s="369"/>
    </row>
    <row r="31" spans="1:18" ht="11.25" customHeight="1" x14ac:dyDescent="0.25">
      <c r="A31" s="1267" t="str">
        <f t="shared" si="6"/>
        <v>Corporate services</v>
      </c>
      <c r="B31" s="1183"/>
      <c r="C31" s="1059">
        <f>A2A!C79</f>
        <v>0</v>
      </c>
      <c r="D31" s="1059">
        <f>A2A!D79</f>
        <v>12552106.399999997</v>
      </c>
      <c r="E31" s="1060">
        <f>A2A!E79</f>
        <v>33654172</v>
      </c>
      <c r="F31" s="1061">
        <f>A2A!F79</f>
        <v>21574835</v>
      </c>
      <c r="G31" s="1059">
        <f>A2A!G79</f>
        <v>22904213.75</v>
      </c>
      <c r="H31" s="1062">
        <f>A2A!H79</f>
        <v>22904213.75</v>
      </c>
      <c r="I31" s="1063">
        <f>A2A!I79</f>
        <v>24250474.91</v>
      </c>
      <c r="J31" s="1059">
        <f>A2A!J79</f>
        <v>25681252.929690003</v>
      </c>
      <c r="K31" s="1060">
        <f>A2A!K79</f>
        <v>27119403.093752641</v>
      </c>
      <c r="L31" s="369"/>
    </row>
    <row r="32" spans="1:18" ht="11.25" customHeight="1" x14ac:dyDescent="0.25">
      <c r="A32" s="1266" t="str">
        <f t="shared" si="6"/>
        <v>Community and public safety</v>
      </c>
      <c r="B32" s="1183"/>
      <c r="C32" s="1126">
        <f>SUM(C33:C37)</f>
        <v>0</v>
      </c>
      <c r="D32" s="1126">
        <f t="shared" ref="D32:K32" si="7">SUM(D33:D37)</f>
        <v>27469485.790000003</v>
      </c>
      <c r="E32" s="1127">
        <f t="shared" si="7"/>
        <v>38903209</v>
      </c>
      <c r="F32" s="1128">
        <f t="shared" si="7"/>
        <v>34251971</v>
      </c>
      <c r="G32" s="1126">
        <f t="shared" si="7"/>
        <v>34877622.509999998</v>
      </c>
      <c r="H32" s="1129">
        <f t="shared" si="7"/>
        <v>34877622.509999998</v>
      </c>
      <c r="I32" s="1130">
        <f t="shared" si="7"/>
        <v>38660015</v>
      </c>
      <c r="J32" s="1126">
        <f t="shared" si="7"/>
        <v>40940955.884999998</v>
      </c>
      <c r="K32" s="1127">
        <f t="shared" si="7"/>
        <v>43233649.414559998</v>
      </c>
      <c r="L32" s="369"/>
    </row>
    <row r="33" spans="1:17" ht="11.25" customHeight="1" x14ac:dyDescent="0.25">
      <c r="A33" s="1267" t="str">
        <f t="shared" si="6"/>
        <v>Community and social services</v>
      </c>
      <c r="B33" s="1183"/>
      <c r="C33" s="1059">
        <f>A2A!C85</f>
        <v>0</v>
      </c>
      <c r="D33" s="1059">
        <f>A2A!D85</f>
        <v>27469485.790000003</v>
      </c>
      <c r="E33" s="1060">
        <f>A2A!E85</f>
        <v>38903209</v>
      </c>
      <c r="F33" s="1061">
        <f>A2A!F85</f>
        <v>30002590</v>
      </c>
      <c r="G33" s="1059">
        <f>A2A!G85</f>
        <v>30681022</v>
      </c>
      <c r="H33" s="1062">
        <f>A2A!H85</f>
        <v>30681022</v>
      </c>
      <c r="I33" s="1063">
        <f>A2A!I85</f>
        <v>15274164</v>
      </c>
      <c r="J33" s="1059">
        <f>A2A!J85</f>
        <v>16175339.676000001</v>
      </c>
      <c r="K33" s="1060">
        <f>A2A!K85</f>
        <v>17081158.697855998</v>
      </c>
      <c r="L33" s="369"/>
    </row>
    <row r="34" spans="1:17" ht="11.25" customHeight="1" x14ac:dyDescent="0.25">
      <c r="A34" s="1267" t="str">
        <f t="shared" si="6"/>
        <v>Sport and recreation</v>
      </c>
      <c r="B34" s="1183"/>
      <c r="C34" s="1059">
        <f>A2A!C94</f>
        <v>0</v>
      </c>
      <c r="D34" s="1059">
        <f>A2A!D94</f>
        <v>0</v>
      </c>
      <c r="E34" s="1060">
        <f>A2A!E94</f>
        <v>0</v>
      </c>
      <c r="F34" s="1061">
        <f>A2A!F94</f>
        <v>0</v>
      </c>
      <c r="G34" s="1059">
        <f>A2A!G94</f>
        <v>0</v>
      </c>
      <c r="H34" s="1062">
        <f>A2A!H94</f>
        <v>0</v>
      </c>
      <c r="I34" s="1063">
        <f>A2A!I94</f>
        <v>0</v>
      </c>
      <c r="J34" s="1059">
        <f>A2A!J94</f>
        <v>0</v>
      </c>
      <c r="K34" s="1060">
        <f>A2A!K94</f>
        <v>0</v>
      </c>
      <c r="L34" s="369"/>
    </row>
    <row r="35" spans="1:17" ht="11.25" customHeight="1" x14ac:dyDescent="0.25">
      <c r="A35" s="1267" t="str">
        <f t="shared" si="6"/>
        <v>Public safety</v>
      </c>
      <c r="B35" s="1183"/>
      <c r="C35" s="1059">
        <f>A2A!C95</f>
        <v>0</v>
      </c>
      <c r="D35" s="1059">
        <f>A2A!D95</f>
        <v>0</v>
      </c>
      <c r="E35" s="1060">
        <f>A2A!E95</f>
        <v>0</v>
      </c>
      <c r="F35" s="1061">
        <f>A2A!F95</f>
        <v>4249381</v>
      </c>
      <c r="G35" s="1059">
        <f>A2A!G95</f>
        <v>4196600.51</v>
      </c>
      <c r="H35" s="1062">
        <f>A2A!H95</f>
        <v>4196600.51</v>
      </c>
      <c r="I35" s="1063">
        <f>A2A!I95</f>
        <v>23385851</v>
      </c>
      <c r="J35" s="1059">
        <f>A2A!J95</f>
        <v>24765616.208999999</v>
      </c>
      <c r="K35" s="1060">
        <f>A2A!K95</f>
        <v>26152490.716704</v>
      </c>
      <c r="L35" s="369"/>
    </row>
    <row r="36" spans="1:17" ht="11.25" customHeight="1" x14ac:dyDescent="0.25">
      <c r="A36" s="1267" t="str">
        <f t="shared" si="6"/>
        <v>Housing</v>
      </c>
      <c r="B36" s="1183"/>
      <c r="C36" s="1059">
        <f>A2A!C101</f>
        <v>0</v>
      </c>
      <c r="D36" s="1059">
        <f>A2A!D101</f>
        <v>0</v>
      </c>
      <c r="E36" s="1060">
        <f>A2A!E101</f>
        <v>0</v>
      </c>
      <c r="F36" s="1061">
        <f>A2A!F101</f>
        <v>0</v>
      </c>
      <c r="G36" s="1059">
        <f>A2A!G101</f>
        <v>0</v>
      </c>
      <c r="H36" s="1062">
        <f>A2A!H101</f>
        <v>0</v>
      </c>
      <c r="I36" s="1063">
        <f>A2A!I101</f>
        <v>0</v>
      </c>
      <c r="J36" s="1059">
        <f>A2A!J101</f>
        <v>0</v>
      </c>
      <c r="K36" s="1060">
        <f>A2A!K101</f>
        <v>0</v>
      </c>
      <c r="L36" s="369"/>
    </row>
    <row r="37" spans="1:17" ht="11.25" customHeight="1" x14ac:dyDescent="0.25">
      <c r="A37" s="1267" t="str">
        <f t="shared" si="6"/>
        <v>Health</v>
      </c>
      <c r="B37" s="1183"/>
      <c r="C37" s="1460">
        <f>A2A!C102</f>
        <v>0</v>
      </c>
      <c r="D37" s="1460">
        <f>A2A!D102</f>
        <v>0</v>
      </c>
      <c r="E37" s="1461">
        <f>A2A!E102</f>
        <v>0</v>
      </c>
      <c r="F37" s="1462">
        <f>A2A!F102</f>
        <v>0</v>
      </c>
      <c r="G37" s="1460">
        <f>A2A!G102</f>
        <v>0</v>
      </c>
      <c r="H37" s="1463">
        <f>A2A!H102</f>
        <v>0</v>
      </c>
      <c r="I37" s="1464">
        <f>A2A!I102</f>
        <v>0</v>
      </c>
      <c r="J37" s="1460">
        <f>A2A!J102</f>
        <v>0</v>
      </c>
      <c r="K37" s="1461">
        <f>A2A!K102</f>
        <v>0</v>
      </c>
      <c r="L37" s="369"/>
    </row>
    <row r="38" spans="1:17" ht="11.25" customHeight="1" x14ac:dyDescent="0.25">
      <c r="A38" s="1266" t="str">
        <f t="shared" si="6"/>
        <v>Economic and environmental services</v>
      </c>
      <c r="B38" s="1125"/>
      <c r="C38" s="1126">
        <f>SUM(C39:C41)</f>
        <v>0</v>
      </c>
      <c r="D38" s="1126">
        <f t="shared" ref="D38:K38" si="8">SUM(D39:D41)</f>
        <v>27913816.160000004</v>
      </c>
      <c r="E38" s="1127">
        <f t="shared" si="8"/>
        <v>28912248</v>
      </c>
      <c r="F38" s="1128">
        <f t="shared" si="8"/>
        <v>22422827</v>
      </c>
      <c r="G38" s="1126">
        <f t="shared" si="8"/>
        <v>21893252.02</v>
      </c>
      <c r="H38" s="1129">
        <f t="shared" si="8"/>
        <v>21893252.02</v>
      </c>
      <c r="I38" s="1130">
        <f t="shared" si="8"/>
        <v>8177899</v>
      </c>
      <c r="J38" s="1126">
        <f t="shared" si="8"/>
        <v>8660395.0410000011</v>
      </c>
      <c r="K38" s="1127">
        <f t="shared" si="8"/>
        <v>9145377.163296001</v>
      </c>
      <c r="L38" s="369"/>
    </row>
    <row r="39" spans="1:17" ht="11.25" customHeight="1" x14ac:dyDescent="0.25">
      <c r="A39" s="1267" t="str">
        <f t="shared" si="6"/>
        <v>Planning and development</v>
      </c>
      <c r="B39" s="1183"/>
      <c r="C39" s="1059">
        <f>A2A!C107</f>
        <v>0</v>
      </c>
      <c r="D39" s="1059">
        <f>A2A!D107</f>
        <v>27913816.160000004</v>
      </c>
      <c r="E39" s="1060">
        <f>A2A!E107</f>
        <v>28912248</v>
      </c>
      <c r="F39" s="1061">
        <f>A2A!F107</f>
        <v>22422827</v>
      </c>
      <c r="G39" s="1059">
        <f>A2A!G107</f>
        <v>21893252.02</v>
      </c>
      <c r="H39" s="1062">
        <f>A2A!H107</f>
        <v>21893252.02</v>
      </c>
      <c r="I39" s="1063">
        <f>A2A!I107</f>
        <v>8177899</v>
      </c>
      <c r="J39" s="1059">
        <f>A2A!J107</f>
        <v>8660395.0410000011</v>
      </c>
      <c r="K39" s="1060">
        <f>A2A!K107</f>
        <v>9145377.163296001</v>
      </c>
      <c r="L39" s="369"/>
    </row>
    <row r="40" spans="1:17" ht="11.25" customHeight="1" x14ac:dyDescent="0.25">
      <c r="A40" s="1267" t="str">
        <f t="shared" si="6"/>
        <v>Road transport</v>
      </c>
      <c r="B40" s="1183"/>
      <c r="C40" s="1059">
        <f>A2A!C111</f>
        <v>0</v>
      </c>
      <c r="D40" s="1059">
        <f>A2A!D111</f>
        <v>0</v>
      </c>
      <c r="E40" s="1060">
        <f>A2A!E111</f>
        <v>0</v>
      </c>
      <c r="F40" s="1061">
        <f>A2A!F111</f>
        <v>0</v>
      </c>
      <c r="G40" s="1059">
        <f>A2A!G111</f>
        <v>0</v>
      </c>
      <c r="H40" s="1062">
        <f>A2A!H111</f>
        <v>0</v>
      </c>
      <c r="I40" s="1063">
        <f>A2A!I111</f>
        <v>0</v>
      </c>
      <c r="J40" s="1059">
        <f>A2A!J111</f>
        <v>0</v>
      </c>
      <c r="K40" s="1060">
        <f>A2A!K111</f>
        <v>0</v>
      </c>
      <c r="L40" s="369"/>
    </row>
    <row r="41" spans="1:17" ht="11.25" customHeight="1" x14ac:dyDescent="0.25">
      <c r="A41" s="1267" t="str">
        <f t="shared" si="6"/>
        <v>Environmental protection</v>
      </c>
      <c r="B41" s="1183"/>
      <c r="C41" s="1059">
        <f>A2A!C117</f>
        <v>0</v>
      </c>
      <c r="D41" s="1059">
        <f>A2A!D117</f>
        <v>0</v>
      </c>
      <c r="E41" s="1060">
        <f>A2A!E117</f>
        <v>0</v>
      </c>
      <c r="F41" s="1061">
        <f>A2A!F117</f>
        <v>0</v>
      </c>
      <c r="G41" s="1059">
        <f>A2A!G117</f>
        <v>0</v>
      </c>
      <c r="H41" s="1062">
        <f>A2A!H117</f>
        <v>0</v>
      </c>
      <c r="I41" s="1063">
        <f>A2A!I117</f>
        <v>0</v>
      </c>
      <c r="J41" s="1059">
        <f>A2A!J117</f>
        <v>0</v>
      </c>
      <c r="K41" s="1060">
        <f>A2A!K117</f>
        <v>0</v>
      </c>
      <c r="L41" s="369"/>
    </row>
    <row r="42" spans="1:17" ht="11.25" customHeight="1" x14ac:dyDescent="0.25">
      <c r="A42" s="1266" t="str">
        <f t="shared" si="6"/>
        <v>Trading services</v>
      </c>
      <c r="B42" s="1125"/>
      <c r="C42" s="1126">
        <f>SUM(C43:C46)</f>
        <v>0</v>
      </c>
      <c r="D42" s="1126">
        <f t="shared" ref="D42:J42" si="9">SUM(D43:D46)</f>
        <v>200957599.47</v>
      </c>
      <c r="E42" s="1127">
        <f t="shared" si="9"/>
        <v>178647549</v>
      </c>
      <c r="F42" s="1128">
        <f>SUM(F43:F46)</f>
        <v>157104624.648256</v>
      </c>
      <c r="G42" s="1126">
        <f t="shared" si="9"/>
        <v>111996188.99825601</v>
      </c>
      <c r="H42" s="1129">
        <f t="shared" si="9"/>
        <v>111996188.99825601</v>
      </c>
      <c r="I42" s="1130">
        <f t="shared" si="9"/>
        <v>222368524.21000001</v>
      </c>
      <c r="J42" s="1126">
        <f t="shared" si="9"/>
        <v>235488267.13838997</v>
      </c>
      <c r="K42" s="1127">
        <f>SUM(K43:K46)</f>
        <v>248675610.09813985</v>
      </c>
      <c r="L42" s="369"/>
    </row>
    <row r="43" spans="1:17" ht="11.25" customHeight="1" x14ac:dyDescent="0.25">
      <c r="A43" s="1267" t="str">
        <f t="shared" si="6"/>
        <v>Electricity</v>
      </c>
      <c r="B43" s="1183"/>
      <c r="C43" s="1059">
        <f>A2A!C122</f>
        <v>0</v>
      </c>
      <c r="D43" s="1059">
        <f>A2A!D122</f>
        <v>2714327.08</v>
      </c>
      <c r="E43" s="1060">
        <f>A2A!E122</f>
        <v>3759338</v>
      </c>
      <c r="F43" s="1061">
        <f>A2A!F122</f>
        <v>2973341</v>
      </c>
      <c r="G43" s="1059">
        <f>A2A!G122</f>
        <v>1952697.95</v>
      </c>
      <c r="H43" s="1062">
        <f>A2A!H122</f>
        <v>1952697.95</v>
      </c>
      <c r="I43" s="1063">
        <f>A2A!I122</f>
        <v>2161755</v>
      </c>
      <c r="J43" s="1059">
        <f>A2A!J122</f>
        <v>2289298.5449999999</v>
      </c>
      <c r="K43" s="1060">
        <f>A2A!K122</f>
        <v>2417499.2635199996</v>
      </c>
      <c r="L43" s="369"/>
    </row>
    <row r="44" spans="1:17" ht="11.25" customHeight="1" x14ac:dyDescent="0.25">
      <c r="A44" s="1267" t="str">
        <f t="shared" si="6"/>
        <v>Water</v>
      </c>
      <c r="B44" s="1183"/>
      <c r="C44" s="1059">
        <f>A2A!C125</f>
        <v>0</v>
      </c>
      <c r="D44" s="1059">
        <f>A2A!D125</f>
        <v>172498202.19999999</v>
      </c>
      <c r="E44" s="1060">
        <f>A2A!E125</f>
        <v>166161215</v>
      </c>
      <c r="F44" s="1061">
        <f>A2A!F125</f>
        <v>144290029.648256</v>
      </c>
      <c r="G44" s="1059">
        <f>A2A!G125</f>
        <v>101786319.788256</v>
      </c>
      <c r="H44" s="1062">
        <f>A2A!H125</f>
        <v>101786319.788256</v>
      </c>
      <c r="I44" s="1063">
        <f>A2A!I125</f>
        <v>193830062</v>
      </c>
      <c r="J44" s="1059">
        <f>A2A!J125</f>
        <v>205266035.65799999</v>
      </c>
      <c r="K44" s="1060">
        <f>A2A!K125</f>
        <v>216760933.65484798</v>
      </c>
      <c r="L44" s="369"/>
    </row>
    <row r="45" spans="1:17" ht="11.25" customHeight="1" x14ac:dyDescent="0.25">
      <c r="A45" s="1267" t="str">
        <f t="shared" si="6"/>
        <v>Waste water management</v>
      </c>
      <c r="B45" s="1183"/>
      <c r="C45" s="1460">
        <f>A2A!C128</f>
        <v>0</v>
      </c>
      <c r="D45" s="1460">
        <f>A2A!D128</f>
        <v>10271819.15</v>
      </c>
      <c r="E45" s="1461">
        <f>A2A!E128</f>
        <v>5683924</v>
      </c>
      <c r="F45" s="1462">
        <f>A2A!F128</f>
        <v>6084254</v>
      </c>
      <c r="G45" s="1460">
        <f>A2A!G128</f>
        <v>4500171.26</v>
      </c>
      <c r="H45" s="1463">
        <f>A2A!H128</f>
        <v>4500171.26</v>
      </c>
      <c r="I45" s="1464">
        <f>A2A!I128</f>
        <v>18199580.210000001</v>
      </c>
      <c r="J45" s="1460">
        <f>A2A!J128</f>
        <v>19273355.442390002</v>
      </c>
      <c r="K45" s="1461">
        <f>A2A!K128</f>
        <v>20352663.347163841</v>
      </c>
      <c r="L45" s="369"/>
    </row>
    <row r="46" spans="1:17" ht="11.25" customHeight="1" x14ac:dyDescent="0.25">
      <c r="A46" s="1267" t="str">
        <f t="shared" si="6"/>
        <v>Waste management</v>
      </c>
      <c r="B46" s="1183"/>
      <c r="C46" s="1059">
        <f>A2A!C132</f>
        <v>0</v>
      </c>
      <c r="D46" s="1059">
        <f>A2A!D132</f>
        <v>15473251.039999999</v>
      </c>
      <c r="E46" s="1060">
        <f>A2A!E132</f>
        <v>3043072</v>
      </c>
      <c r="F46" s="1061">
        <f>A2A!F132</f>
        <v>3757000</v>
      </c>
      <c r="G46" s="1059">
        <f>A2A!G132</f>
        <v>3757000</v>
      </c>
      <c r="H46" s="1062">
        <f>A2A!H132</f>
        <v>3757000</v>
      </c>
      <c r="I46" s="1063">
        <f>A2A!I132</f>
        <v>8177127</v>
      </c>
      <c r="J46" s="1059">
        <f>A2A!J132</f>
        <v>8659577.4929999989</v>
      </c>
      <c r="K46" s="1060">
        <f>A2A!K132</f>
        <v>9144513.8326080013</v>
      </c>
      <c r="L46" s="369"/>
    </row>
    <row r="47" spans="1:17" ht="11.25" customHeight="1" x14ac:dyDescent="0.25">
      <c r="A47" s="1266" t="str">
        <f t="shared" si="6"/>
        <v>Other</v>
      </c>
      <c r="B47" s="1125">
        <v>4</v>
      </c>
      <c r="C47" s="1126">
        <f>A2A!C134</f>
        <v>0</v>
      </c>
      <c r="D47" s="1126">
        <f>A2A!D134</f>
        <v>0</v>
      </c>
      <c r="E47" s="1127">
        <f>A2A!E134</f>
        <v>0</v>
      </c>
      <c r="F47" s="1128">
        <f>A2A!F134</f>
        <v>0</v>
      </c>
      <c r="G47" s="1126">
        <f>A2A!G134</f>
        <v>0</v>
      </c>
      <c r="H47" s="1129">
        <f>A2A!H134</f>
        <v>0</v>
      </c>
      <c r="I47" s="1130">
        <f>A2A!I134</f>
        <v>0</v>
      </c>
      <c r="J47" s="1126">
        <f>A2A!J134</f>
        <v>0</v>
      </c>
      <c r="K47" s="1127">
        <f>A2A!K134</f>
        <v>0</v>
      </c>
      <c r="L47" s="369"/>
    </row>
    <row r="48" spans="1:17" ht="11.25" customHeight="1" x14ac:dyDescent="0.25">
      <c r="A48" s="1361" t="str">
        <f>"Total "&amp;A27</f>
        <v>Total Expenditure - Standard</v>
      </c>
      <c r="B48" s="1362">
        <v>3</v>
      </c>
      <c r="C48" s="808">
        <f>C28+C32+C38+C42+C47</f>
        <v>367303885</v>
      </c>
      <c r="D48" s="808">
        <f>D28+D32+D38+D42+D47</f>
        <v>480311834.57000005</v>
      </c>
      <c r="E48" s="809">
        <f>E28+E32+E38+E42+E47</f>
        <v>634171173</v>
      </c>
      <c r="F48" s="810">
        <f t="shared" ref="F48:K48" si="10">F28+F32+F38+F42+F47</f>
        <v>542203713.77425599</v>
      </c>
      <c r="G48" s="808">
        <f t="shared" si="10"/>
        <v>360517281.74825597</v>
      </c>
      <c r="H48" s="811">
        <f t="shared" si="10"/>
        <v>360517281.74825597</v>
      </c>
      <c r="I48" s="1103">
        <f t="shared" si="10"/>
        <v>629943578.63999999</v>
      </c>
      <c r="J48" s="808">
        <f t="shared" si="10"/>
        <v>667110249.77976</v>
      </c>
      <c r="K48" s="809">
        <f t="shared" si="10"/>
        <v>704468423.76742649</v>
      </c>
      <c r="L48" s="369"/>
      <c r="Q48" s="280"/>
    </row>
    <row r="49" spans="1:12" x14ac:dyDescent="0.25">
      <c r="A49" s="1186" t="str">
        <f>result</f>
        <v>Surplus/(Deficit) for the year</v>
      </c>
      <c r="B49" s="1187"/>
      <c r="C49" s="283">
        <f>C25-C48</f>
        <v>14225858</v>
      </c>
      <c r="D49" s="283">
        <f t="shared" ref="D49:K49" si="11">D25-D48</f>
        <v>30489701.429999948</v>
      </c>
      <c r="E49" s="284">
        <f t="shared" si="11"/>
        <v>-132346447</v>
      </c>
      <c r="F49" s="285">
        <f t="shared" si="11"/>
        <v>-68443590.786256015</v>
      </c>
      <c r="G49" s="283">
        <f t="shared" si="11"/>
        <v>141053425.83974397</v>
      </c>
      <c r="H49" s="282">
        <f t="shared" si="11"/>
        <v>141053425.83974397</v>
      </c>
      <c r="I49" s="286">
        <f t="shared" si="11"/>
        <v>-20867501.850000024</v>
      </c>
      <c r="J49" s="283">
        <f t="shared" si="11"/>
        <v>-22098684.459150076</v>
      </c>
      <c r="K49" s="284">
        <f t="shared" si="11"/>
        <v>-23336210.788862228</v>
      </c>
      <c r="L49" s="369"/>
    </row>
    <row r="50" spans="1:12" x14ac:dyDescent="0.25">
      <c r="A50" s="1188" t="str">
        <f>head27a</f>
        <v>References</v>
      </c>
      <c r="B50" s="1189"/>
      <c r="C50" s="1054"/>
      <c r="D50" s="1054"/>
      <c r="E50" s="1054"/>
      <c r="F50" s="1054"/>
      <c r="G50" s="1054"/>
      <c r="H50" s="1054"/>
      <c r="I50" s="1054"/>
      <c r="J50" s="1054"/>
      <c r="K50" s="1054"/>
    </row>
    <row r="51" spans="1:12" ht="11.25" customHeight="1" x14ac:dyDescent="0.25">
      <c r="A51" s="1190" t="s">
        <v>1123</v>
      </c>
      <c r="B51" s="1189"/>
      <c r="C51" s="1191"/>
      <c r="D51" s="1191"/>
      <c r="E51" s="1192"/>
      <c r="F51" s="1192"/>
      <c r="G51" s="1192"/>
      <c r="H51" s="1192"/>
      <c r="I51" s="1192"/>
      <c r="J51" s="1192"/>
      <c r="K51" s="1192"/>
    </row>
    <row r="52" spans="1:12" ht="11.25" customHeight="1" x14ac:dyDescent="0.25">
      <c r="A52" s="1193" t="s">
        <v>448</v>
      </c>
      <c r="B52" s="1189"/>
      <c r="C52" s="1191"/>
      <c r="D52" s="1191"/>
      <c r="E52" s="1192"/>
      <c r="F52" s="1192"/>
      <c r="G52" s="1192"/>
      <c r="H52" s="1192"/>
      <c r="I52" s="1192"/>
      <c r="J52" s="1192"/>
      <c r="K52" s="1192"/>
    </row>
    <row r="53" spans="1:12" ht="11.25" customHeight="1" x14ac:dyDescent="0.25">
      <c r="A53" s="1190" t="s">
        <v>449</v>
      </c>
      <c r="B53" s="1189"/>
      <c r="C53" s="1191"/>
      <c r="D53" s="1191"/>
      <c r="E53" s="1192"/>
      <c r="F53" s="1192"/>
      <c r="G53" s="1192"/>
      <c r="H53" s="1192"/>
      <c r="I53" s="1192"/>
      <c r="J53" s="1192"/>
      <c r="K53" s="1192"/>
    </row>
    <row r="54" spans="1:12" ht="25.5" customHeight="1" x14ac:dyDescent="0.25">
      <c r="A54" s="2770" t="s">
        <v>1196</v>
      </c>
      <c r="B54" s="2770"/>
      <c r="C54" s="2770"/>
      <c r="D54" s="2770"/>
      <c r="E54" s="2770"/>
      <c r="F54" s="2770"/>
      <c r="G54" s="2770"/>
      <c r="H54" s="2770"/>
      <c r="I54" s="2770"/>
      <c r="J54" s="2770"/>
      <c r="K54" s="2770"/>
    </row>
    <row r="55" spans="1:12" ht="11.25" customHeight="1" x14ac:dyDescent="0.25">
      <c r="A55" s="246"/>
      <c r="B55" s="236"/>
      <c r="C55" s="240"/>
      <c r="D55" s="240"/>
      <c r="E55" s="241"/>
      <c r="F55" s="241"/>
      <c r="G55" s="241"/>
      <c r="H55" s="241"/>
      <c r="I55" s="241"/>
      <c r="J55" s="241"/>
      <c r="K55" s="241"/>
    </row>
    <row r="56" spans="1:12" ht="11.25" customHeight="1" x14ac:dyDescent="0.25">
      <c r="A56" s="246"/>
      <c r="B56" s="236"/>
      <c r="C56" s="240"/>
      <c r="D56" s="240"/>
      <c r="E56" s="241"/>
      <c r="F56" s="241"/>
      <c r="G56" s="241"/>
      <c r="H56" s="241"/>
      <c r="I56" s="241"/>
      <c r="J56" s="241"/>
      <c r="K56" s="241"/>
    </row>
    <row r="57" spans="1:12" ht="11.25" customHeight="1" x14ac:dyDescent="0.25">
      <c r="A57" s="288" t="s">
        <v>154</v>
      </c>
      <c r="B57" s="243"/>
      <c r="C57" s="289">
        <f>C25-'A4-FinPerf RE'!C60</f>
        <v>0</v>
      </c>
      <c r="D57" s="289">
        <f>D25-'A4-FinPerf RE'!D60</f>
        <v>0</v>
      </c>
      <c r="E57" s="1025">
        <f>E25-'A4-FinPerf RE'!E60</f>
        <v>-0.47000002861022949</v>
      </c>
      <c r="F57" s="289">
        <f>F25-'A4-FinPerf RE'!F60</f>
        <v>0</v>
      </c>
      <c r="G57" s="289">
        <f>G25-'A4-FinPerf RE'!G60</f>
        <v>0</v>
      </c>
      <c r="H57" s="289">
        <f>H25-'A4-FinPerf RE'!H60</f>
        <v>0</v>
      </c>
      <c r="I57" s="289">
        <f>I25-'A4-FinPerf RE'!J60</f>
        <v>0</v>
      </c>
      <c r="J57" s="289">
        <f>J25-'A4-FinPerf RE'!K60</f>
        <v>0</v>
      </c>
      <c r="K57" s="289">
        <f>K25-'A4-FinPerf RE'!L60</f>
        <v>0</v>
      </c>
    </row>
    <row r="58" spans="1:12" ht="11.25" customHeight="1" x14ac:dyDescent="0.25">
      <c r="A58" s="288" t="s">
        <v>870</v>
      </c>
      <c r="B58" s="243"/>
      <c r="C58" s="289">
        <f>C48-'A4-FinPerf RE'!C36</f>
        <v>0</v>
      </c>
      <c r="D58" s="289">
        <f>D48-'A4-FinPerf RE'!D36</f>
        <v>-0.4299999475479126</v>
      </c>
      <c r="E58" s="1025">
        <f>E48-'A4-FinPerf RE'!E36</f>
        <v>0</v>
      </c>
      <c r="F58" s="289">
        <f>F48-'A4-FinPerf RE'!F36</f>
        <v>0</v>
      </c>
      <c r="G58" s="289">
        <f>G48-'A4-FinPerf RE'!G36</f>
        <v>3.9999485015869141E-3</v>
      </c>
      <c r="H58" s="289">
        <f>H48-'A4-FinPerf RE'!H36</f>
        <v>3.9999485015869141E-3</v>
      </c>
      <c r="I58" s="289">
        <f>I48-'A4-FinPerf RE'!J36</f>
        <v>0</v>
      </c>
      <c r="J58" s="289">
        <f>J48-'A4-FinPerf RE'!K36</f>
        <v>0</v>
      </c>
      <c r="K58" s="289">
        <f>K48-'A4-FinPerf RE'!L36</f>
        <v>0</v>
      </c>
    </row>
    <row r="59" spans="1:12" ht="11.25" customHeight="1" x14ac:dyDescent="0.25"/>
    <row r="60" spans="1:12" ht="11.25" customHeight="1" x14ac:dyDescent="0.25"/>
    <row r="61" spans="1:12" ht="11.25" customHeight="1" x14ac:dyDescent="0.25"/>
    <row r="62" spans="1:12" ht="11.25" customHeight="1" x14ac:dyDescent="0.25">
      <c r="E62" s="362"/>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sheet="1" objects="1" scenarios="1"/>
  <customSheetViews>
    <customSheetView guid="{F50C5479-5CC4-4FD7-8319-543D29E829F0}" showGridLines="0" fitToPage="1">
      <pane xSplit="2" ySplit="3" topLeftCell="C4" activePane="bottomRight" state="frozen"/>
      <selection pane="bottomRight" activeCell="I56" sqref="I56"/>
      <pageMargins left="0" right="0" top="0.78740157480314965" bottom="0.59055118110236227" header="0.51181102362204722" footer="0.39370078740157483"/>
      <printOptions horizontalCentered="1"/>
      <pageSetup paperSize="9" scale="87" orientation="portrait" r:id="rId1"/>
      <headerFooter alignWithMargins="0"/>
    </customSheetView>
  </customSheetViews>
  <mergeCells count="3">
    <mergeCell ref="A54:K54"/>
    <mergeCell ref="F2:H2"/>
    <mergeCell ref="I2:K2"/>
  </mergeCells>
  <phoneticPr fontId="2" type="noConversion"/>
  <printOptions horizontalCentered="1"/>
  <pageMargins left="0" right="0" top="0.78740157480314965" bottom="0.59055118110236227" header="0.51181102362204722" footer="0.39370078740157483"/>
  <pageSetup paperSize="9" scale="87"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9CCFF"/>
  </sheetPr>
  <dimension ref="A1:R184"/>
  <sheetViews>
    <sheetView showGridLines="0" topLeftCell="A133" zoomScaleNormal="100" workbookViewId="0">
      <selection activeCell="K65" sqref="K65"/>
    </sheetView>
  </sheetViews>
  <sheetFormatPr defaultRowHeight="12.75" x14ac:dyDescent="0.25"/>
  <cols>
    <col min="1" max="1" width="30.7109375" style="149" customWidth="1"/>
    <col min="2" max="2" width="3" style="247" customWidth="1"/>
    <col min="3" max="11" width="9.28515625" style="149" customWidth="1"/>
    <col min="12" max="41" width="9.5703125" style="149" customWidth="1"/>
    <col min="42" max="16384" width="9.140625" style="149"/>
  </cols>
  <sheetData>
    <row r="1" spans="1:18" ht="13.5" x14ac:dyDescent="0.25">
      <c r="A1" s="147" t="str">
        <f>muni&amp;" - "&amp;Approve3</f>
        <v>MP315 Thembisile Hani - Table A2 Budgeted Financial Performance (revenue and expenditure by standard classification)</v>
      </c>
      <c r="B1" s="248"/>
      <c r="C1" s="248"/>
      <c r="D1" s="248"/>
      <c r="E1" s="248"/>
      <c r="F1" s="248"/>
      <c r="G1" s="248"/>
      <c r="H1" s="248"/>
      <c r="I1" s="248"/>
      <c r="J1" s="248"/>
      <c r="K1" s="248"/>
    </row>
    <row r="2" spans="1:18" ht="28.5" customHeight="1" x14ac:dyDescent="0.25">
      <c r="A2" s="970" t="str">
        <f>"Standard Classification "&amp;desc</f>
        <v>Standard Classification Description</v>
      </c>
      <c r="B2" s="418" t="str">
        <f>head27</f>
        <v>Ref</v>
      </c>
      <c r="C2" s="150" t="str">
        <f>head1b</f>
        <v>2011/12</v>
      </c>
      <c r="D2" s="150" t="str">
        <f>head1A</f>
        <v>2012/13</v>
      </c>
      <c r="E2" s="146" t="str">
        <f>Head1</f>
        <v>2013/14</v>
      </c>
      <c r="F2" s="2766" t="str">
        <f>Head2</f>
        <v>Current Year 2014/15</v>
      </c>
      <c r="G2" s="2767"/>
      <c r="H2" s="2771"/>
      <c r="I2" s="2763" t="str">
        <f>Head3</f>
        <v>2015/16 Medium Term Revenue &amp; Expenditure Framework</v>
      </c>
      <c r="J2" s="2764"/>
      <c r="K2" s="2765"/>
    </row>
    <row r="3" spans="1:18" ht="25.5" x14ac:dyDescent="0.25">
      <c r="A3" s="180" t="s">
        <v>662</v>
      </c>
      <c r="B3" s="981">
        <v>1</v>
      </c>
      <c r="C3" s="389" t="str">
        <f>Head5</f>
        <v>Audited Outcome</v>
      </c>
      <c r="D3" s="389" t="str">
        <f>Head5</f>
        <v>Audited Outcome</v>
      </c>
      <c r="E3" s="390" t="str">
        <f>Head5</f>
        <v>Audited Outcome</v>
      </c>
      <c r="F3" s="299" t="str">
        <f>Head6</f>
        <v>Original Budget</v>
      </c>
      <c r="G3" s="389" t="str">
        <f>Head7</f>
        <v>Adjusted Budget</v>
      </c>
      <c r="H3" s="390" t="str">
        <f>Head8</f>
        <v>Full Year Forecast</v>
      </c>
      <c r="I3" s="299" t="str">
        <f>Head9</f>
        <v>Budget Year 2015/16</v>
      </c>
      <c r="J3" s="389" t="str">
        <f>Head10</f>
        <v>Budget Year +1 2016/17</v>
      </c>
      <c r="K3" s="390" t="str">
        <f>Head11</f>
        <v>Budget Year +2 2017/18</v>
      </c>
    </row>
    <row r="4" spans="1:18" ht="11.25" customHeight="1" x14ac:dyDescent="0.25">
      <c r="A4" s="249" t="s">
        <v>429</v>
      </c>
      <c r="B4" s="182"/>
      <c r="C4" s="184"/>
      <c r="D4" s="184"/>
      <c r="E4" s="183"/>
      <c r="F4" s="186"/>
      <c r="G4" s="184"/>
      <c r="H4" s="185"/>
      <c r="I4" s="1329"/>
      <c r="J4" s="184"/>
      <c r="K4" s="185"/>
      <c r="L4" s="369"/>
    </row>
    <row r="5" spans="1:18" ht="11.25" customHeight="1" x14ac:dyDescent="0.25">
      <c r="A5" s="1266" t="s">
        <v>141</v>
      </c>
      <c r="B5" s="1183"/>
      <c r="C5" s="1333">
        <f>C6+C9+C10</f>
        <v>342124000</v>
      </c>
      <c r="D5" s="1333">
        <f t="shared" ref="D5:K5" si="0">D6+D9+D10</f>
        <v>323216600</v>
      </c>
      <c r="E5" s="1501">
        <f t="shared" si="0"/>
        <v>338986598</v>
      </c>
      <c r="F5" s="1337">
        <f t="shared" si="0"/>
        <v>290860299.35799998</v>
      </c>
      <c r="G5" s="1333">
        <f t="shared" si="0"/>
        <v>308811169.61799997</v>
      </c>
      <c r="H5" s="1502">
        <f t="shared" si="0"/>
        <v>308811169.61799997</v>
      </c>
      <c r="I5" s="1503">
        <f t="shared" si="0"/>
        <v>381745233.52999997</v>
      </c>
      <c r="J5" s="1333">
        <f t="shared" si="0"/>
        <v>404268202.30826992</v>
      </c>
      <c r="K5" s="1502">
        <f t="shared" si="0"/>
        <v>426907221.63753319</v>
      </c>
      <c r="L5" s="369"/>
      <c r="Q5" s="252"/>
      <c r="R5" s="253"/>
    </row>
    <row r="6" spans="1:18" ht="11.25" customHeight="1" x14ac:dyDescent="0.25">
      <c r="A6" s="1325" t="s">
        <v>142</v>
      </c>
      <c r="B6" s="1183"/>
      <c r="C6" s="1106">
        <f>SUM(C7:C8)</f>
        <v>342124000</v>
      </c>
      <c r="D6" s="1106">
        <f t="shared" ref="D6:K6" si="1">SUM(D7:D8)</f>
        <v>49553000</v>
      </c>
      <c r="E6" s="1419">
        <f t="shared" si="1"/>
        <v>0</v>
      </c>
      <c r="F6" s="1107">
        <f t="shared" si="1"/>
        <v>0</v>
      </c>
      <c r="G6" s="1106">
        <f t="shared" si="1"/>
        <v>0</v>
      </c>
      <c r="H6" s="1143">
        <f t="shared" si="1"/>
        <v>0</v>
      </c>
      <c r="I6" s="1420">
        <f t="shared" si="1"/>
        <v>0</v>
      </c>
      <c r="J6" s="1106">
        <f t="shared" si="1"/>
        <v>0</v>
      </c>
      <c r="K6" s="1143">
        <f t="shared" si="1"/>
        <v>0</v>
      </c>
      <c r="L6" s="369"/>
      <c r="Q6" s="252"/>
      <c r="R6" s="253"/>
    </row>
    <row r="7" spans="1:18" ht="11.25" customHeight="1" x14ac:dyDescent="0.25">
      <c r="A7" s="1545" t="s">
        <v>334</v>
      </c>
      <c r="B7" s="1183"/>
      <c r="C7" s="1606">
        <v>342124000</v>
      </c>
      <c r="D7" s="1607">
        <v>49553000</v>
      </c>
      <c r="E7" s="1608">
        <v>0</v>
      </c>
      <c r="F7" s="1610">
        <v>0</v>
      </c>
      <c r="G7" s="1606"/>
      <c r="H7" s="1609"/>
      <c r="I7" s="1610"/>
      <c r="J7" s="1606"/>
      <c r="K7" s="1609"/>
      <c r="L7" s="369"/>
      <c r="Q7" s="252"/>
      <c r="R7" s="253"/>
    </row>
    <row r="8" spans="1:18" ht="11.25" customHeight="1" x14ac:dyDescent="0.25">
      <c r="A8" s="1545" t="s">
        <v>335</v>
      </c>
      <c r="B8" s="1183"/>
      <c r="C8" s="1606">
        <v>0</v>
      </c>
      <c r="D8" s="1607">
        <v>0</v>
      </c>
      <c r="E8" s="1608">
        <v>0</v>
      </c>
      <c r="F8" s="1610">
        <v>0</v>
      </c>
      <c r="G8" s="1606"/>
      <c r="H8" s="1609"/>
      <c r="I8" s="1610"/>
      <c r="J8" s="1606"/>
      <c r="K8" s="1609"/>
      <c r="L8" s="369"/>
      <c r="Q8" s="252"/>
      <c r="R8" s="253"/>
    </row>
    <row r="9" spans="1:18" ht="11.25" customHeight="1" x14ac:dyDescent="0.25">
      <c r="A9" s="1325" t="s">
        <v>143</v>
      </c>
      <c r="B9" s="1183"/>
      <c r="C9" s="1611"/>
      <c r="D9" s="1611">
        <v>273663600</v>
      </c>
      <c r="E9" s="1612">
        <v>338986598</v>
      </c>
      <c r="F9" s="1613">
        <v>290860299.35799998</v>
      </c>
      <c r="G9" s="1611">
        <v>308811169.61799997</v>
      </c>
      <c r="H9" s="1614">
        <v>308811169.61799997</v>
      </c>
      <c r="I9" s="1615">
        <f>A3A!I38</f>
        <v>381745233.52999997</v>
      </c>
      <c r="J9" s="1611">
        <f>I9*1.059</f>
        <v>404268202.30826992</v>
      </c>
      <c r="K9" s="1614">
        <f>A3A!K38</f>
        <v>426907221.63753319</v>
      </c>
      <c r="L9" s="369"/>
      <c r="Q9" s="252"/>
      <c r="R9" s="253"/>
    </row>
    <row r="10" spans="1:18" ht="11.25" customHeight="1" x14ac:dyDescent="0.25">
      <c r="A10" s="1325" t="s">
        <v>144</v>
      </c>
      <c r="B10" s="1183"/>
      <c r="C10" s="1106">
        <f>SUM(C11:C14)</f>
        <v>0</v>
      </c>
      <c r="D10" s="1106">
        <f t="shared" ref="D10:K10" si="2">SUM(D11:D14)</f>
        <v>0</v>
      </c>
      <c r="E10" s="1419">
        <f t="shared" si="2"/>
        <v>0</v>
      </c>
      <c r="F10" s="1107">
        <f t="shared" si="2"/>
        <v>0</v>
      </c>
      <c r="G10" s="1106">
        <f t="shared" si="2"/>
        <v>0</v>
      </c>
      <c r="H10" s="1143">
        <f t="shared" si="2"/>
        <v>0</v>
      </c>
      <c r="I10" s="1420">
        <f t="shared" si="2"/>
        <v>0</v>
      </c>
      <c r="J10" s="1106">
        <f t="shared" si="2"/>
        <v>0</v>
      </c>
      <c r="K10" s="1143">
        <f t="shared" si="2"/>
        <v>0</v>
      </c>
      <c r="L10" s="369"/>
      <c r="Q10" s="252"/>
      <c r="R10" s="253"/>
    </row>
    <row r="11" spans="1:18" ht="11.25" customHeight="1" x14ac:dyDescent="0.25">
      <c r="A11" s="1545" t="s">
        <v>336</v>
      </c>
      <c r="B11" s="1183"/>
      <c r="C11" s="1606">
        <v>0</v>
      </c>
      <c r="D11" s="1607">
        <v>0</v>
      </c>
      <c r="E11" s="1608">
        <v>0</v>
      </c>
      <c r="F11" s="1610">
        <v>0</v>
      </c>
      <c r="G11" s="1610">
        <v>0</v>
      </c>
      <c r="H11" s="1610">
        <v>0</v>
      </c>
      <c r="I11" s="1610">
        <v>0</v>
      </c>
      <c r="J11" s="1610">
        <v>0</v>
      </c>
      <c r="K11" s="1610">
        <v>0</v>
      </c>
      <c r="L11" s="369"/>
      <c r="Q11" s="252"/>
      <c r="R11" s="253"/>
    </row>
    <row r="12" spans="1:18" ht="11.25" customHeight="1" x14ac:dyDescent="0.25">
      <c r="A12" s="1545" t="s">
        <v>337</v>
      </c>
      <c r="B12" s="1183"/>
      <c r="C12" s="1606">
        <v>0</v>
      </c>
      <c r="D12" s="1607">
        <v>0</v>
      </c>
      <c r="E12" s="1608">
        <v>0</v>
      </c>
      <c r="F12" s="1610">
        <v>0</v>
      </c>
      <c r="G12" s="1610">
        <v>0</v>
      </c>
      <c r="H12" s="1610">
        <v>0</v>
      </c>
      <c r="I12" s="1610">
        <v>0</v>
      </c>
      <c r="J12" s="1610">
        <v>0</v>
      </c>
      <c r="K12" s="1610">
        <v>0</v>
      </c>
      <c r="L12" s="369"/>
      <c r="Q12" s="252"/>
      <c r="R12" s="253"/>
    </row>
    <row r="13" spans="1:18" ht="11.25" customHeight="1" x14ac:dyDescent="0.25">
      <c r="A13" s="1545" t="s">
        <v>1056</v>
      </c>
      <c r="B13" s="1183"/>
      <c r="C13" s="1606">
        <v>0</v>
      </c>
      <c r="D13" s="1607">
        <v>0</v>
      </c>
      <c r="E13" s="1608">
        <v>0</v>
      </c>
      <c r="F13" s="1610">
        <v>0</v>
      </c>
      <c r="G13" s="1610">
        <v>0</v>
      </c>
      <c r="H13" s="1610">
        <v>0</v>
      </c>
      <c r="I13" s="1610">
        <v>0</v>
      </c>
      <c r="J13" s="1610">
        <v>0</v>
      </c>
      <c r="K13" s="1610">
        <v>0</v>
      </c>
      <c r="L13" s="369"/>
      <c r="Q13" s="252"/>
      <c r="R13" s="253"/>
    </row>
    <row r="14" spans="1:18" ht="11.25" customHeight="1" x14ac:dyDescent="0.25">
      <c r="A14" s="1545" t="s">
        <v>1057</v>
      </c>
      <c r="B14" s="1183"/>
      <c r="C14" s="1606">
        <v>0</v>
      </c>
      <c r="D14" s="1607">
        <v>0</v>
      </c>
      <c r="E14" s="1608">
        <v>0</v>
      </c>
      <c r="F14" s="1610">
        <v>0</v>
      </c>
      <c r="G14" s="1610">
        <v>0</v>
      </c>
      <c r="H14" s="1610">
        <v>0</v>
      </c>
      <c r="I14" s="1610">
        <v>0</v>
      </c>
      <c r="J14" s="1610">
        <v>0</v>
      </c>
      <c r="K14" s="1610">
        <v>0</v>
      </c>
      <c r="L14" s="369"/>
      <c r="Q14" s="252"/>
      <c r="R14" s="253"/>
    </row>
    <row r="15" spans="1:18" ht="11.25" customHeight="1" x14ac:dyDescent="0.25">
      <c r="A15" s="1266" t="s">
        <v>145</v>
      </c>
      <c r="B15" s="1183"/>
      <c r="C15" s="1333">
        <f>C16+C25+C26+C32+C33</f>
        <v>0</v>
      </c>
      <c r="D15" s="1333">
        <f t="shared" ref="D15:K15" si="3">D16+D25+D26+D32+D33</f>
        <v>2235511</v>
      </c>
      <c r="E15" s="1501">
        <f t="shared" si="3"/>
        <v>4337689</v>
      </c>
      <c r="F15" s="1337">
        <f t="shared" si="3"/>
        <v>7667172.9000000004</v>
      </c>
      <c r="G15" s="1333">
        <f t="shared" si="3"/>
        <v>8901600.9000000004</v>
      </c>
      <c r="H15" s="1502">
        <f t="shared" si="3"/>
        <v>8901600.9000000004</v>
      </c>
      <c r="I15" s="1503">
        <f t="shared" si="3"/>
        <v>28958554.260000002</v>
      </c>
      <c r="J15" s="1333">
        <f t="shared" si="3"/>
        <v>30667108.961340003</v>
      </c>
      <c r="K15" s="1502">
        <f t="shared" si="3"/>
        <v>32384467.063175038</v>
      </c>
      <c r="L15" s="369"/>
      <c r="Q15" s="252"/>
      <c r="R15" s="253"/>
    </row>
    <row r="16" spans="1:18" ht="11.25" customHeight="1" x14ac:dyDescent="0.25">
      <c r="A16" s="1325" t="s">
        <v>146</v>
      </c>
      <c r="B16" s="1183"/>
      <c r="C16" s="1134">
        <f>SUM(C17:C24)</f>
        <v>0</v>
      </c>
      <c r="D16" s="1134">
        <f t="shared" ref="D16:K16" si="4">SUM(D17:D24)</f>
        <v>2235511</v>
      </c>
      <c r="E16" s="1504">
        <f t="shared" si="4"/>
        <v>4337689</v>
      </c>
      <c r="F16" s="1135">
        <f t="shared" si="4"/>
        <v>1390246.21</v>
      </c>
      <c r="G16" s="1134">
        <f t="shared" si="4"/>
        <v>2162699.2999999998</v>
      </c>
      <c r="H16" s="1505">
        <f t="shared" si="4"/>
        <v>2162699.2999999998</v>
      </c>
      <c r="I16" s="1506">
        <f t="shared" si="4"/>
        <v>21322154.260000002</v>
      </c>
      <c r="J16" s="1134">
        <f t="shared" si="4"/>
        <v>22580161.361340001</v>
      </c>
      <c r="K16" s="1505">
        <f t="shared" si="4"/>
        <v>23844650.397575036</v>
      </c>
      <c r="L16" s="369"/>
      <c r="Q16" s="252"/>
      <c r="R16" s="253"/>
    </row>
    <row r="17" spans="1:18" ht="11.25" customHeight="1" x14ac:dyDescent="0.25">
      <c r="A17" s="1545" t="s">
        <v>1639</v>
      </c>
      <c r="B17" s="1183"/>
      <c r="C17" s="1606">
        <v>0</v>
      </c>
      <c r="D17" s="1607">
        <v>0</v>
      </c>
      <c r="E17" s="1608">
        <v>0</v>
      </c>
      <c r="F17" s="1610">
        <v>0</v>
      </c>
      <c r="G17" s="1606"/>
      <c r="H17" s="1609"/>
      <c r="I17" s="1610"/>
      <c r="J17" s="1606"/>
      <c r="K17" s="1609"/>
      <c r="L17" s="369"/>
      <c r="Q17" s="252"/>
      <c r="R17" s="253"/>
    </row>
    <row r="18" spans="1:18" ht="11.25" customHeight="1" x14ac:dyDescent="0.25">
      <c r="A18" s="1545" t="s">
        <v>809</v>
      </c>
      <c r="B18" s="1183"/>
      <c r="C18" s="1606">
        <v>0</v>
      </c>
      <c r="D18" s="1607">
        <v>0</v>
      </c>
      <c r="E18" s="1608">
        <v>0</v>
      </c>
      <c r="F18" s="1610">
        <v>0</v>
      </c>
      <c r="G18" s="1606"/>
      <c r="H18" s="1609"/>
      <c r="I18" s="1610"/>
      <c r="J18" s="1606"/>
      <c r="K18" s="1609"/>
      <c r="L18" s="369"/>
      <c r="Q18" s="252"/>
      <c r="R18" s="253"/>
    </row>
    <row r="19" spans="1:18" ht="11.25" customHeight="1" x14ac:dyDescent="0.25">
      <c r="A19" s="1545" t="s">
        <v>810</v>
      </c>
      <c r="B19" s="1183"/>
      <c r="C19" s="1606">
        <v>0</v>
      </c>
      <c r="D19" s="1607">
        <v>121420</v>
      </c>
      <c r="E19" s="1608">
        <v>97145</v>
      </c>
      <c r="F19" s="1610">
        <v>100117.20000000001</v>
      </c>
      <c r="G19" s="1606">
        <v>101093.30000000002</v>
      </c>
      <c r="H19" s="1609">
        <v>101093.30000000002</v>
      </c>
      <c r="I19" s="1610">
        <f>A3A!I143</f>
        <v>106956.4</v>
      </c>
      <c r="J19" s="1606">
        <f>I19*1.059</f>
        <v>113266.82759999999</v>
      </c>
      <c r="K19" s="1609">
        <f>A3A!K143</f>
        <v>119609.76994559998</v>
      </c>
      <c r="L19" s="369"/>
      <c r="Q19" s="252"/>
      <c r="R19" s="253"/>
    </row>
    <row r="20" spans="1:18" ht="11.25" customHeight="1" x14ac:dyDescent="0.25">
      <c r="A20" s="1545" t="s">
        <v>811</v>
      </c>
      <c r="B20" s="1183"/>
      <c r="C20" s="1606">
        <v>0</v>
      </c>
      <c r="D20" s="1607">
        <v>0</v>
      </c>
      <c r="E20" s="1608"/>
      <c r="F20" s="1610">
        <v>0</v>
      </c>
      <c r="G20" s="1606">
        <v>0</v>
      </c>
      <c r="H20" s="1609">
        <v>0</v>
      </c>
      <c r="I20" s="1610"/>
      <c r="J20" s="1606"/>
      <c r="K20" s="1609"/>
      <c r="L20" s="369"/>
      <c r="Q20" s="252"/>
      <c r="R20" s="253"/>
    </row>
    <row r="21" spans="1:18" ht="11.25" customHeight="1" x14ac:dyDescent="0.25">
      <c r="A21" s="1545" t="s">
        <v>1640</v>
      </c>
      <c r="B21" s="1183"/>
      <c r="C21" s="1606">
        <v>0</v>
      </c>
      <c r="D21" s="1607">
        <v>0</v>
      </c>
      <c r="E21" s="1608"/>
      <c r="F21" s="1610">
        <v>0</v>
      </c>
      <c r="G21" s="1606">
        <v>0</v>
      </c>
      <c r="H21" s="1609">
        <v>0</v>
      </c>
      <c r="I21" s="1610"/>
      <c r="J21" s="1606"/>
      <c r="K21" s="1609"/>
      <c r="L21" s="369"/>
      <c r="Q21" s="252"/>
      <c r="R21" s="253"/>
    </row>
    <row r="22" spans="1:18" ht="11.25" customHeight="1" x14ac:dyDescent="0.25">
      <c r="A22" s="1545" t="s">
        <v>1641</v>
      </c>
      <c r="B22" s="1183"/>
      <c r="C22" s="1606">
        <v>0</v>
      </c>
      <c r="D22" s="1607">
        <v>0</v>
      </c>
      <c r="E22" s="1608"/>
      <c r="F22" s="1610">
        <v>0</v>
      </c>
      <c r="G22" s="1606">
        <v>0</v>
      </c>
      <c r="H22" s="1609">
        <v>0</v>
      </c>
      <c r="I22" s="1610"/>
      <c r="J22" s="1606"/>
      <c r="K22" s="1609"/>
      <c r="L22" s="369"/>
      <c r="Q22" s="252"/>
      <c r="R22" s="253"/>
    </row>
    <row r="23" spans="1:18" ht="11.25" customHeight="1" x14ac:dyDescent="0.25">
      <c r="A23" s="1545" t="s">
        <v>1642</v>
      </c>
      <c r="B23" s="1183"/>
      <c r="C23" s="1606">
        <v>0</v>
      </c>
      <c r="D23" s="1607">
        <v>2114091</v>
      </c>
      <c r="E23" s="1608">
        <v>4240544</v>
      </c>
      <c r="F23" s="1610">
        <v>1290129.01</v>
      </c>
      <c r="G23" s="1606">
        <v>2061606</v>
      </c>
      <c r="H23" s="1609">
        <v>2061606</v>
      </c>
      <c r="I23" s="1610">
        <f>A3A!I120</f>
        <v>21215197.860000003</v>
      </c>
      <c r="J23" s="1610">
        <f>I23*1.059</f>
        <v>22466894.533740003</v>
      </c>
      <c r="K23" s="1610">
        <f>A3A!K120</f>
        <v>23725040.627629437</v>
      </c>
      <c r="L23" s="369"/>
      <c r="Q23" s="252"/>
      <c r="R23" s="253"/>
    </row>
    <row r="24" spans="1:18" ht="11.25" customHeight="1" x14ac:dyDescent="0.25">
      <c r="A24" s="1545" t="s">
        <v>1643</v>
      </c>
      <c r="B24" s="1183"/>
      <c r="C24" s="1606"/>
      <c r="D24" s="1607"/>
      <c r="E24" s="1608"/>
      <c r="F24" s="1610"/>
      <c r="G24" s="1606"/>
      <c r="H24" s="1609"/>
      <c r="I24" s="1610"/>
      <c r="J24" s="1606"/>
      <c r="K24" s="1609"/>
      <c r="L24" s="369"/>
      <c r="Q24" s="252"/>
      <c r="R24" s="253"/>
    </row>
    <row r="25" spans="1:18" ht="11.25" customHeight="1" x14ac:dyDescent="0.25">
      <c r="A25" s="1325" t="s">
        <v>147</v>
      </c>
      <c r="B25" s="1183"/>
      <c r="C25" s="1606"/>
      <c r="D25" s="1607"/>
      <c r="E25" s="1608"/>
      <c r="F25" s="1610"/>
      <c r="G25" s="1606"/>
      <c r="H25" s="1609"/>
      <c r="I25" s="1610"/>
      <c r="J25" s="1606"/>
      <c r="K25" s="1609"/>
      <c r="L25" s="369"/>
      <c r="Q25" s="252"/>
      <c r="R25" s="253"/>
    </row>
    <row r="26" spans="1:18" ht="11.25" customHeight="1" x14ac:dyDescent="0.25">
      <c r="A26" s="1325" t="s">
        <v>148</v>
      </c>
      <c r="B26" s="1183"/>
      <c r="C26" s="1134">
        <f>SUM(C27:C31)</f>
        <v>0</v>
      </c>
      <c r="D26" s="1134">
        <f t="shared" ref="D26:K26" si="5">SUM(D27:D31)</f>
        <v>0</v>
      </c>
      <c r="E26" s="1504">
        <f t="shared" si="5"/>
        <v>0</v>
      </c>
      <c r="F26" s="1135">
        <f t="shared" si="5"/>
        <v>6276926.6900000004</v>
      </c>
      <c r="G26" s="1134">
        <f t="shared" si="5"/>
        <v>6738901.6000000006</v>
      </c>
      <c r="H26" s="1505">
        <f t="shared" si="5"/>
        <v>6738901.6000000006</v>
      </c>
      <c r="I26" s="1506">
        <f t="shared" si="5"/>
        <v>7636400</v>
      </c>
      <c r="J26" s="1134">
        <f t="shared" si="5"/>
        <v>8086947.5999999996</v>
      </c>
      <c r="K26" s="1505">
        <f t="shared" si="5"/>
        <v>8539816.6655999999</v>
      </c>
      <c r="L26" s="369"/>
      <c r="Q26" s="252"/>
      <c r="R26" s="253"/>
    </row>
    <row r="27" spans="1:18" ht="11.25" customHeight="1" x14ac:dyDescent="0.25">
      <c r="A27" s="1545" t="s">
        <v>1644</v>
      </c>
      <c r="B27" s="1183"/>
      <c r="C27" s="1606"/>
      <c r="D27" s="1606"/>
      <c r="E27" s="1607"/>
      <c r="F27" s="1608"/>
      <c r="G27" s="1606"/>
      <c r="H27" s="1609"/>
      <c r="I27" s="1610"/>
      <c r="J27" s="1606"/>
      <c r="K27" s="1609"/>
      <c r="L27" s="369"/>
      <c r="Q27" s="252"/>
      <c r="R27" s="253"/>
    </row>
    <row r="28" spans="1:18" ht="11.25" customHeight="1" x14ac:dyDescent="0.25">
      <c r="A28" s="1545" t="s">
        <v>1511</v>
      </c>
      <c r="B28" s="1183"/>
      <c r="C28" s="1606"/>
      <c r="D28" s="1606"/>
      <c r="E28" s="1607"/>
      <c r="F28" s="1608"/>
      <c r="G28" s="1606"/>
      <c r="H28" s="1609"/>
      <c r="I28" s="1610"/>
      <c r="J28" s="1606"/>
      <c r="K28" s="1609"/>
      <c r="L28" s="369"/>
      <c r="Q28" s="252"/>
      <c r="R28" s="253"/>
    </row>
    <row r="29" spans="1:18" ht="11.25" customHeight="1" x14ac:dyDescent="0.25">
      <c r="A29" s="1545" t="s">
        <v>790</v>
      </c>
      <c r="B29" s="1183"/>
      <c r="C29" s="1606"/>
      <c r="D29" s="1606"/>
      <c r="E29" s="1607"/>
      <c r="F29" s="1608"/>
      <c r="G29" s="1606"/>
      <c r="H29" s="1609"/>
      <c r="I29" s="1610"/>
      <c r="J29" s="1606"/>
      <c r="K29" s="1609"/>
      <c r="L29" s="369"/>
      <c r="Q29" s="252"/>
      <c r="R29" s="253"/>
    </row>
    <row r="30" spans="1:18" ht="11.25" customHeight="1" x14ac:dyDescent="0.25">
      <c r="A30" s="1545" t="s">
        <v>137</v>
      </c>
      <c r="B30" s="1183"/>
      <c r="C30" s="1606">
        <v>0</v>
      </c>
      <c r="D30" s="1607">
        <v>0</v>
      </c>
      <c r="E30" s="1608">
        <v>0</v>
      </c>
      <c r="F30" s="1610">
        <v>0</v>
      </c>
      <c r="G30" s="1606"/>
      <c r="H30" s="1609"/>
      <c r="I30" s="1610"/>
      <c r="J30" s="1606"/>
      <c r="K30" s="1609"/>
      <c r="L30" s="369"/>
      <c r="Q30" s="252"/>
      <c r="R30" s="253"/>
    </row>
    <row r="31" spans="1:18" ht="11.25" customHeight="1" x14ac:dyDescent="0.25">
      <c r="A31" s="1545" t="s">
        <v>292</v>
      </c>
      <c r="B31" s="1183"/>
      <c r="C31" s="1606"/>
      <c r="D31" s="1606"/>
      <c r="E31" s="1607"/>
      <c r="F31" s="1608">
        <v>6276926.6900000004</v>
      </c>
      <c r="G31" s="1606">
        <v>6738901.6000000006</v>
      </c>
      <c r="H31" s="1609">
        <v>6738901.6000000006</v>
      </c>
      <c r="I31" s="1610">
        <f>A3A!I134</f>
        <v>7636400</v>
      </c>
      <c r="J31" s="1610">
        <f>I31*1.059</f>
        <v>8086947.5999999996</v>
      </c>
      <c r="K31" s="1610">
        <f>A3A!K134</f>
        <v>8539816.6655999999</v>
      </c>
      <c r="L31" s="369"/>
      <c r="Q31" s="252"/>
      <c r="R31" s="253"/>
    </row>
    <row r="32" spans="1:18" ht="11.25" customHeight="1" x14ac:dyDescent="0.25">
      <c r="A32" s="1325" t="s">
        <v>1702</v>
      </c>
      <c r="B32" s="1183"/>
      <c r="C32" s="1616"/>
      <c r="D32" s="1616"/>
      <c r="E32" s="1617"/>
      <c r="F32" s="1618"/>
      <c r="G32" s="1616"/>
      <c r="H32" s="1619"/>
      <c r="I32" s="1620"/>
      <c r="J32" s="1616"/>
      <c r="K32" s="1619"/>
      <c r="L32" s="369"/>
      <c r="Q32" s="252"/>
      <c r="R32" s="253"/>
    </row>
    <row r="33" spans="1:18" ht="11.25" customHeight="1" x14ac:dyDescent="0.25">
      <c r="A33" s="1325" t="s">
        <v>1781</v>
      </c>
      <c r="B33" s="1183"/>
      <c r="C33" s="1134">
        <f>SUM(C34:C36)</f>
        <v>0</v>
      </c>
      <c r="D33" s="1134">
        <f t="shared" ref="D33:K33" si="6">SUM(D34:D36)</f>
        <v>0</v>
      </c>
      <c r="E33" s="1504">
        <f t="shared" si="6"/>
        <v>0</v>
      </c>
      <c r="F33" s="1135">
        <f t="shared" si="6"/>
        <v>0</v>
      </c>
      <c r="G33" s="1134">
        <f t="shared" si="6"/>
        <v>0</v>
      </c>
      <c r="H33" s="1505">
        <f t="shared" si="6"/>
        <v>0</v>
      </c>
      <c r="I33" s="1506">
        <f t="shared" si="6"/>
        <v>0</v>
      </c>
      <c r="J33" s="1134">
        <f t="shared" si="6"/>
        <v>0</v>
      </c>
      <c r="K33" s="1505">
        <f t="shared" si="6"/>
        <v>0</v>
      </c>
      <c r="L33" s="369"/>
      <c r="Q33" s="252"/>
      <c r="R33" s="253"/>
    </row>
    <row r="34" spans="1:18" ht="11.25" customHeight="1" x14ac:dyDescent="0.25">
      <c r="A34" s="1545" t="s">
        <v>1273</v>
      </c>
      <c r="B34" s="1183"/>
      <c r="C34" s="1606"/>
      <c r="D34" s="1606"/>
      <c r="E34" s="1607"/>
      <c r="F34" s="1608"/>
      <c r="G34" s="1606"/>
      <c r="H34" s="1609"/>
      <c r="I34" s="1610"/>
      <c r="J34" s="1606"/>
      <c r="K34" s="1609"/>
      <c r="L34" s="369"/>
      <c r="Q34" s="252"/>
      <c r="R34" s="253"/>
    </row>
    <row r="35" spans="1:18" ht="11.25" customHeight="1" x14ac:dyDescent="0.25">
      <c r="A35" s="1545" t="s">
        <v>626</v>
      </c>
      <c r="B35" s="1183"/>
      <c r="C35" s="1606"/>
      <c r="D35" s="1606"/>
      <c r="E35" s="1607"/>
      <c r="F35" s="1608"/>
      <c r="G35" s="1606"/>
      <c r="H35" s="1609"/>
      <c r="I35" s="1610"/>
      <c r="J35" s="1606"/>
      <c r="K35" s="1609"/>
      <c r="L35" s="369"/>
      <c r="Q35" s="252"/>
      <c r="R35" s="253"/>
    </row>
    <row r="36" spans="1:18" ht="11.25" customHeight="1" x14ac:dyDescent="0.25">
      <c r="A36" s="1545" t="s">
        <v>627</v>
      </c>
      <c r="B36" s="1183"/>
      <c r="C36" s="1606"/>
      <c r="D36" s="1606"/>
      <c r="E36" s="1607"/>
      <c r="F36" s="1608">
        <v>0</v>
      </c>
      <c r="G36" s="1606"/>
      <c r="H36" s="1609"/>
      <c r="I36" s="1610"/>
      <c r="J36" s="1606"/>
      <c r="K36" s="1609"/>
      <c r="L36" s="369"/>
      <c r="Q36" s="252"/>
      <c r="R36" s="253"/>
    </row>
    <row r="37" spans="1:18" ht="11.25" customHeight="1" x14ac:dyDescent="0.25">
      <c r="A37" s="1266" t="s">
        <v>149</v>
      </c>
      <c r="B37" s="1125"/>
      <c r="C37" s="1333">
        <f>C38+C42+C48</f>
        <v>0</v>
      </c>
      <c r="D37" s="1333">
        <f t="shared" ref="D37:K37" si="7">D38+D42+D48</f>
        <v>142850534</v>
      </c>
      <c r="E37" s="1501">
        <f t="shared" si="7"/>
        <v>98744152</v>
      </c>
      <c r="F37" s="1337">
        <f t="shared" si="7"/>
        <v>116003074.3</v>
      </c>
      <c r="G37" s="1333">
        <f t="shared" si="7"/>
        <v>115466912.36999999</v>
      </c>
      <c r="H37" s="1502">
        <f t="shared" si="7"/>
        <v>115466912.36999999</v>
      </c>
      <c r="I37" s="1503">
        <f t="shared" si="7"/>
        <v>119297042.98</v>
      </c>
      <c r="J37" s="1333">
        <f t="shared" si="7"/>
        <v>126335568.51582</v>
      </c>
      <c r="K37" s="1502">
        <f t="shared" si="7"/>
        <v>133410360.35270593</v>
      </c>
      <c r="L37" s="369"/>
      <c r="Q37" s="252"/>
      <c r="R37" s="253"/>
    </row>
    <row r="38" spans="1:18" ht="11.25" customHeight="1" x14ac:dyDescent="0.25">
      <c r="A38" s="1325" t="s">
        <v>150</v>
      </c>
      <c r="B38" s="1125"/>
      <c r="C38" s="1134">
        <f>SUM(C39:C41)</f>
        <v>0</v>
      </c>
      <c r="D38" s="1134">
        <f t="shared" ref="D38:K38" si="8">SUM(D39:D41)</f>
        <v>142850534</v>
      </c>
      <c r="E38" s="1504">
        <f t="shared" si="8"/>
        <v>98744152</v>
      </c>
      <c r="F38" s="1135">
        <f t="shared" si="8"/>
        <v>116003074.3</v>
      </c>
      <c r="G38" s="1134">
        <f t="shared" si="8"/>
        <v>115466912.36999999</v>
      </c>
      <c r="H38" s="1505">
        <f t="shared" si="8"/>
        <v>115466912.36999999</v>
      </c>
      <c r="I38" s="1506">
        <f t="shared" si="8"/>
        <v>119297042.98</v>
      </c>
      <c r="J38" s="1134">
        <f t="shared" si="8"/>
        <v>126335568.51582</v>
      </c>
      <c r="K38" s="1505">
        <f t="shared" si="8"/>
        <v>133410360.35270593</v>
      </c>
      <c r="L38" s="369"/>
      <c r="Q38" s="252"/>
      <c r="R38" s="253"/>
    </row>
    <row r="39" spans="1:18" ht="11.25" customHeight="1" x14ac:dyDescent="0.25">
      <c r="A39" s="1545" t="s">
        <v>566</v>
      </c>
      <c r="B39" s="1125"/>
      <c r="C39" s="1606"/>
      <c r="D39" s="1606"/>
      <c r="E39" s="1607"/>
      <c r="F39" s="1608"/>
      <c r="G39" s="1606"/>
      <c r="H39" s="1609"/>
      <c r="I39" s="1610"/>
      <c r="J39" s="1606"/>
      <c r="K39" s="1609"/>
      <c r="L39" s="369"/>
      <c r="Q39" s="252"/>
      <c r="R39" s="253"/>
    </row>
    <row r="40" spans="1:18" ht="11.25" customHeight="1" x14ac:dyDescent="0.25">
      <c r="A40" s="1545" t="s">
        <v>624</v>
      </c>
      <c r="B40" s="1125"/>
      <c r="C40" s="1606"/>
      <c r="D40" s="1606">
        <v>140566821</v>
      </c>
      <c r="E40" s="1607">
        <v>91592381</v>
      </c>
      <c r="F40" s="1608">
        <v>116003074.3</v>
      </c>
      <c r="G40" s="1606">
        <v>115466912.36999999</v>
      </c>
      <c r="H40" s="1609">
        <v>115466912.36999999</v>
      </c>
      <c r="I40" s="1610">
        <f>A3A!I60</f>
        <v>119297042.98</v>
      </c>
      <c r="J40" s="1610">
        <f>I40*1.059</f>
        <v>126335568.51582</v>
      </c>
      <c r="K40" s="1610">
        <f>A3A!K60</f>
        <v>133410360.35270593</v>
      </c>
      <c r="L40" s="369"/>
      <c r="Q40" s="252"/>
      <c r="R40" s="253"/>
    </row>
    <row r="41" spans="1:18" ht="11.25" customHeight="1" x14ac:dyDescent="0.25">
      <c r="A41" s="1545" t="s">
        <v>97</v>
      </c>
      <c r="B41" s="1125"/>
      <c r="C41" s="1606"/>
      <c r="D41" s="1606">
        <v>2283713</v>
      </c>
      <c r="E41" s="1607">
        <v>7151771</v>
      </c>
      <c r="F41" s="1608"/>
      <c r="G41" s="1606"/>
      <c r="H41" s="1609"/>
      <c r="I41" s="1610"/>
      <c r="J41" s="1606"/>
      <c r="K41" s="1609"/>
      <c r="L41" s="369"/>
      <c r="Q41" s="252"/>
      <c r="R41" s="253"/>
    </row>
    <row r="42" spans="1:18" ht="11.25" customHeight="1" x14ac:dyDescent="0.25">
      <c r="A42" s="1325" t="s">
        <v>151</v>
      </c>
      <c r="B42" s="1125"/>
      <c r="C42" s="1134">
        <f>SUM(C43:C47)</f>
        <v>0</v>
      </c>
      <c r="D42" s="1134">
        <f t="shared" ref="D42:K42" si="9">SUM(D43:D47)</f>
        <v>0</v>
      </c>
      <c r="E42" s="1504">
        <f t="shared" si="9"/>
        <v>0</v>
      </c>
      <c r="F42" s="1135">
        <f t="shared" si="9"/>
        <v>0</v>
      </c>
      <c r="G42" s="1134">
        <f t="shared" si="9"/>
        <v>0</v>
      </c>
      <c r="H42" s="1505">
        <f t="shared" si="9"/>
        <v>0</v>
      </c>
      <c r="I42" s="1506">
        <f t="shared" si="9"/>
        <v>0</v>
      </c>
      <c r="J42" s="1134">
        <f t="shared" si="9"/>
        <v>0</v>
      </c>
      <c r="K42" s="1505">
        <f t="shared" si="9"/>
        <v>0</v>
      </c>
      <c r="L42" s="369"/>
      <c r="Q42" s="252"/>
      <c r="R42" s="253"/>
    </row>
    <row r="43" spans="1:18" ht="11.25" customHeight="1" x14ac:dyDescent="0.25">
      <c r="A43" s="1545" t="s">
        <v>731</v>
      </c>
      <c r="B43" s="1125"/>
      <c r="C43" s="1606"/>
      <c r="D43" s="1606"/>
      <c r="E43" s="1607"/>
      <c r="F43" s="1608"/>
      <c r="G43" s="1606"/>
      <c r="H43" s="1609"/>
      <c r="I43" s="1610"/>
      <c r="J43" s="1606"/>
      <c r="K43" s="1609"/>
      <c r="L43" s="369"/>
      <c r="Q43" s="252"/>
      <c r="R43" s="253"/>
    </row>
    <row r="44" spans="1:18" ht="11.25" customHeight="1" x14ac:dyDescent="0.25">
      <c r="A44" s="1545" t="s">
        <v>732</v>
      </c>
      <c r="B44" s="1125"/>
      <c r="C44" s="1606"/>
      <c r="D44" s="1606"/>
      <c r="E44" s="1607"/>
      <c r="F44" s="1608"/>
      <c r="G44" s="1606"/>
      <c r="H44" s="1609"/>
      <c r="I44" s="1610"/>
      <c r="J44" s="1606"/>
      <c r="K44" s="1609"/>
      <c r="L44" s="369"/>
      <c r="Q44" s="252"/>
      <c r="R44" s="253"/>
    </row>
    <row r="45" spans="1:18" ht="11.25" customHeight="1" x14ac:dyDescent="0.25">
      <c r="A45" s="1545" t="s">
        <v>733</v>
      </c>
      <c r="B45" s="1125"/>
      <c r="C45" s="1606"/>
      <c r="D45" s="1606"/>
      <c r="E45" s="1607"/>
      <c r="F45" s="1608"/>
      <c r="G45" s="1606"/>
      <c r="H45" s="1609"/>
      <c r="I45" s="1610"/>
      <c r="J45" s="1606"/>
      <c r="K45" s="1609"/>
      <c r="L45" s="369"/>
      <c r="Q45" s="252"/>
      <c r="R45" s="253"/>
    </row>
    <row r="46" spans="1:18" ht="11.25" customHeight="1" x14ac:dyDescent="0.25">
      <c r="A46" s="1545" t="s">
        <v>812</v>
      </c>
      <c r="B46" s="1125"/>
      <c r="C46" s="1606"/>
      <c r="D46" s="1606"/>
      <c r="E46" s="1607"/>
      <c r="F46" s="1608"/>
      <c r="G46" s="1606"/>
      <c r="H46" s="1609"/>
      <c r="I46" s="1610"/>
      <c r="J46" s="1606"/>
      <c r="K46" s="1609"/>
      <c r="L46" s="369"/>
      <c r="Q46" s="252"/>
      <c r="R46" s="253"/>
    </row>
    <row r="47" spans="1:18" ht="11.25" customHeight="1" x14ac:dyDescent="0.25">
      <c r="A47" s="1545" t="s">
        <v>292</v>
      </c>
      <c r="B47" s="1125"/>
      <c r="C47" s="1606"/>
      <c r="D47" s="1606"/>
      <c r="E47" s="1607"/>
      <c r="F47" s="1608"/>
      <c r="G47" s="1606"/>
      <c r="H47" s="1609"/>
      <c r="I47" s="1610"/>
      <c r="J47" s="1606"/>
      <c r="K47" s="1609"/>
      <c r="L47" s="369"/>
      <c r="Q47" s="252"/>
      <c r="R47" s="253"/>
    </row>
    <row r="48" spans="1:18" ht="11.25" customHeight="1" x14ac:dyDescent="0.25">
      <c r="A48" s="1325" t="s">
        <v>152</v>
      </c>
      <c r="B48" s="1125"/>
      <c r="C48" s="1134">
        <f>SUM(C49:C51)</f>
        <v>0</v>
      </c>
      <c r="D48" s="1134">
        <f t="shared" ref="D48:K48" si="10">SUM(D49:D51)</f>
        <v>0</v>
      </c>
      <c r="E48" s="1504">
        <f t="shared" si="10"/>
        <v>0</v>
      </c>
      <c r="F48" s="1135">
        <f t="shared" si="10"/>
        <v>0</v>
      </c>
      <c r="G48" s="1134">
        <f t="shared" si="10"/>
        <v>0</v>
      </c>
      <c r="H48" s="1505">
        <f t="shared" si="10"/>
        <v>0</v>
      </c>
      <c r="I48" s="1506">
        <f t="shared" si="10"/>
        <v>0</v>
      </c>
      <c r="J48" s="1134">
        <f t="shared" si="10"/>
        <v>0</v>
      </c>
      <c r="K48" s="1505">
        <f t="shared" si="10"/>
        <v>0</v>
      </c>
      <c r="L48" s="369"/>
      <c r="Q48" s="252"/>
      <c r="R48" s="253"/>
    </row>
    <row r="49" spans="1:18" ht="11.25" customHeight="1" x14ac:dyDescent="0.25">
      <c r="A49" s="1545" t="s">
        <v>725</v>
      </c>
      <c r="B49" s="1125"/>
      <c r="C49" s="1606"/>
      <c r="D49" s="1606"/>
      <c r="E49" s="1607"/>
      <c r="F49" s="1608"/>
      <c r="G49" s="1606"/>
      <c r="H49" s="1609"/>
      <c r="I49" s="1610"/>
      <c r="J49" s="1606"/>
      <c r="K49" s="1609"/>
      <c r="L49" s="369"/>
      <c r="Q49" s="252"/>
      <c r="R49" s="253"/>
    </row>
    <row r="50" spans="1:18" ht="11.25" customHeight="1" x14ac:dyDescent="0.25">
      <c r="A50" s="1545" t="s">
        <v>726</v>
      </c>
      <c r="B50" s="1125"/>
      <c r="C50" s="1606"/>
      <c r="D50" s="1606"/>
      <c r="E50" s="1607"/>
      <c r="F50" s="1608"/>
      <c r="G50" s="1606"/>
      <c r="H50" s="1609"/>
      <c r="I50" s="1610"/>
      <c r="J50" s="1606"/>
      <c r="K50" s="1609"/>
      <c r="L50" s="369"/>
      <c r="Q50" s="252"/>
      <c r="R50" s="253"/>
    </row>
    <row r="51" spans="1:18" ht="11.25" customHeight="1" x14ac:dyDescent="0.25">
      <c r="A51" s="1545" t="s">
        <v>292</v>
      </c>
      <c r="B51" s="1125"/>
      <c r="C51" s="1606"/>
      <c r="D51" s="1606"/>
      <c r="E51" s="1607"/>
      <c r="F51" s="1608"/>
      <c r="G51" s="1606"/>
      <c r="H51" s="1609"/>
      <c r="I51" s="1610"/>
      <c r="J51" s="1606"/>
      <c r="K51" s="1609"/>
      <c r="L51" s="369"/>
      <c r="Q51" s="252"/>
      <c r="R51" s="253"/>
    </row>
    <row r="52" spans="1:18" ht="11.25" customHeight="1" x14ac:dyDescent="0.25">
      <c r="A52" s="1266" t="s">
        <v>153</v>
      </c>
      <c r="B52" s="1125"/>
      <c r="C52" s="1333">
        <f>C53+C56+C59+C63</f>
        <v>39405743</v>
      </c>
      <c r="D52" s="1333">
        <f t="shared" ref="D52:J52" si="11">D53+D56+D59+D63</f>
        <v>42498891</v>
      </c>
      <c r="E52" s="1501">
        <f t="shared" si="11"/>
        <v>59756287</v>
      </c>
      <c r="F52" s="1337">
        <f t="shared" si="11"/>
        <v>59229576.430000007</v>
      </c>
      <c r="G52" s="1333">
        <f t="shared" si="11"/>
        <v>68391024.700000003</v>
      </c>
      <c r="H52" s="1502">
        <f t="shared" si="11"/>
        <v>68391024.700000003</v>
      </c>
      <c r="I52" s="1503">
        <f t="shared" si="11"/>
        <v>79075246.019999996</v>
      </c>
      <c r="J52" s="1333">
        <f t="shared" si="11"/>
        <v>83740685.535179988</v>
      </c>
      <c r="K52" s="1502">
        <f>K53+K56+K59+K63</f>
        <v>88430163.925150096</v>
      </c>
      <c r="L52" s="369"/>
      <c r="Q52" s="252"/>
      <c r="R52" s="253"/>
    </row>
    <row r="53" spans="1:18" ht="11.25" customHeight="1" x14ac:dyDescent="0.25">
      <c r="A53" s="1325" t="s">
        <v>649</v>
      </c>
      <c r="B53" s="1125"/>
      <c r="C53" s="1134">
        <f>SUM(C54:C55)</f>
        <v>0</v>
      </c>
      <c r="D53" s="1134">
        <f t="shared" ref="D53:K53" si="12">SUM(D54:D55)</f>
        <v>161456</v>
      </c>
      <c r="E53" s="1504">
        <f t="shared" si="12"/>
        <v>2078725</v>
      </c>
      <c r="F53" s="1135">
        <f t="shared" si="12"/>
        <v>0</v>
      </c>
      <c r="G53" s="1134">
        <f t="shared" si="12"/>
        <v>0</v>
      </c>
      <c r="H53" s="1505">
        <f t="shared" si="12"/>
        <v>0</v>
      </c>
      <c r="I53" s="1506">
        <f t="shared" si="12"/>
        <v>1100000</v>
      </c>
      <c r="J53" s="1134">
        <f t="shared" si="12"/>
        <v>1164900</v>
      </c>
      <c r="K53" s="1505">
        <f t="shared" si="12"/>
        <v>1230134.4000000001</v>
      </c>
      <c r="L53" s="369"/>
      <c r="Q53" s="252"/>
      <c r="R53" s="253"/>
    </row>
    <row r="54" spans="1:18" ht="11.25" customHeight="1" x14ac:dyDescent="0.25">
      <c r="A54" s="1545" t="s">
        <v>736</v>
      </c>
      <c r="B54" s="1125"/>
      <c r="C54" s="1606"/>
      <c r="D54" s="1606">
        <v>161456</v>
      </c>
      <c r="E54" s="1607">
        <v>2078725</v>
      </c>
      <c r="F54" s="1608"/>
      <c r="G54" s="1606"/>
      <c r="H54" s="1609"/>
      <c r="I54" s="1610">
        <v>0</v>
      </c>
      <c r="J54" s="1610">
        <v>0</v>
      </c>
      <c r="K54" s="1610">
        <v>0</v>
      </c>
      <c r="L54" s="369"/>
      <c r="Q54" s="252"/>
      <c r="R54" s="253"/>
    </row>
    <row r="55" spans="1:18" ht="11.25" customHeight="1" x14ac:dyDescent="0.25">
      <c r="A55" s="1545" t="s">
        <v>94</v>
      </c>
      <c r="B55" s="1125"/>
      <c r="C55" s="1606"/>
      <c r="D55" s="1606">
        <v>0</v>
      </c>
      <c r="E55" s="1607"/>
      <c r="F55" s="1608"/>
      <c r="G55" s="1606"/>
      <c r="H55" s="1609"/>
      <c r="I55" s="1610">
        <v>1100000</v>
      </c>
      <c r="J55" s="1606">
        <f>I55*1.059</f>
        <v>1164900</v>
      </c>
      <c r="K55" s="1609">
        <f>A3A!K81</f>
        <v>1230134.4000000001</v>
      </c>
      <c r="L55" s="369"/>
      <c r="Q55" s="252"/>
      <c r="R55" s="253"/>
    </row>
    <row r="56" spans="1:18" ht="11.25" customHeight="1" x14ac:dyDescent="0.25">
      <c r="A56" s="1325" t="s">
        <v>948</v>
      </c>
      <c r="B56" s="1125"/>
      <c r="C56" s="1134">
        <f>SUM(C57:C58)</f>
        <v>34803743</v>
      </c>
      <c r="D56" s="1134">
        <f t="shared" ref="D56:K56" si="13">SUM(D57:D58)</f>
        <v>38174855</v>
      </c>
      <c r="E56" s="1504">
        <f t="shared" si="13"/>
        <v>38367295</v>
      </c>
      <c r="F56" s="1135">
        <f t="shared" si="13"/>
        <v>50750147.800000004</v>
      </c>
      <c r="G56" s="1134">
        <f t="shared" si="13"/>
        <v>50790108.090000004</v>
      </c>
      <c r="H56" s="1505">
        <f t="shared" si="13"/>
        <v>50790108.090000004</v>
      </c>
      <c r="I56" s="1506">
        <f t="shared" si="13"/>
        <v>57089377.469999999</v>
      </c>
      <c r="J56" s="1134">
        <f t="shared" si="13"/>
        <v>60457650.740729995</v>
      </c>
      <c r="K56" s="1505">
        <f t="shared" si="13"/>
        <v>63843279.182210885</v>
      </c>
      <c r="L56" s="369"/>
      <c r="Q56" s="252"/>
      <c r="R56" s="253"/>
    </row>
    <row r="57" spans="1:18" ht="11.25" customHeight="1" x14ac:dyDescent="0.25">
      <c r="A57" s="1545" t="s">
        <v>734</v>
      </c>
      <c r="B57" s="1125"/>
      <c r="C57" s="1606">
        <v>34803743</v>
      </c>
      <c r="D57" s="1606">
        <v>38174855</v>
      </c>
      <c r="E57" s="1607">
        <v>38367295</v>
      </c>
      <c r="F57" s="1608">
        <v>50750147.800000004</v>
      </c>
      <c r="G57" s="1606">
        <v>50790108.090000004</v>
      </c>
      <c r="H57" s="1609">
        <v>50790108.090000004</v>
      </c>
      <c r="I57" s="1610">
        <f>A3A!I85</f>
        <v>57089377.469999999</v>
      </c>
      <c r="J57" s="1610">
        <f>I57*1.059</f>
        <v>60457650.740729995</v>
      </c>
      <c r="K57" s="1610">
        <f>A3A!K85</f>
        <v>63843279.182210885</v>
      </c>
      <c r="L57" s="369"/>
      <c r="Q57" s="252"/>
      <c r="R57" s="253"/>
    </row>
    <row r="58" spans="1:18" ht="11.25" customHeight="1" x14ac:dyDescent="0.25">
      <c r="A58" s="1545" t="s">
        <v>735</v>
      </c>
      <c r="B58" s="1125"/>
      <c r="C58" s="1606"/>
      <c r="D58" s="1606"/>
      <c r="E58" s="1607"/>
      <c r="F58" s="1608"/>
      <c r="G58" s="1606"/>
      <c r="H58" s="1609"/>
      <c r="I58" s="1610"/>
      <c r="J58" s="1606"/>
      <c r="K58" s="1609"/>
      <c r="L58" s="369"/>
      <c r="Q58" s="252"/>
      <c r="R58" s="253"/>
    </row>
    <row r="59" spans="1:18" ht="11.25" customHeight="1" x14ac:dyDescent="0.25">
      <c r="A59" s="1325" t="s">
        <v>1124</v>
      </c>
      <c r="B59" s="1125"/>
      <c r="C59" s="1134">
        <f>SUM(C60:C62)</f>
        <v>631000</v>
      </c>
      <c r="D59" s="1134">
        <f t="shared" ref="D59:K59" si="14">SUM(D60:D62)</f>
        <v>0</v>
      </c>
      <c r="E59" s="1504">
        <f t="shared" si="14"/>
        <v>1383804</v>
      </c>
      <c r="F59" s="1135">
        <f t="shared" si="14"/>
        <v>1533259.31</v>
      </c>
      <c r="G59" s="1134">
        <f t="shared" si="14"/>
        <v>1533259.31</v>
      </c>
      <c r="H59" s="1505">
        <f t="shared" si="14"/>
        <v>1533259.31</v>
      </c>
      <c r="I59" s="1506">
        <f t="shared" si="14"/>
        <v>2044223.5800000003</v>
      </c>
      <c r="J59" s="1134">
        <f t="shared" si="14"/>
        <v>2164832.77122</v>
      </c>
      <c r="K59" s="1505">
        <f t="shared" si="14"/>
        <v>2286063.4064083202</v>
      </c>
      <c r="L59" s="369"/>
      <c r="Q59" s="252"/>
      <c r="R59" s="253"/>
    </row>
    <row r="60" spans="1:18" ht="11.25" customHeight="1" x14ac:dyDescent="0.25">
      <c r="A60" s="1545" t="s">
        <v>728</v>
      </c>
      <c r="B60" s="1125"/>
      <c r="C60" s="1606">
        <v>631000</v>
      </c>
      <c r="D60" s="1606"/>
      <c r="E60" s="1607">
        <v>1383804</v>
      </c>
      <c r="F60" s="1608">
        <v>1533259.31</v>
      </c>
      <c r="G60" s="1606">
        <v>1533259.31</v>
      </c>
      <c r="H60" s="1609">
        <v>1533259.31</v>
      </c>
      <c r="I60" s="1610">
        <f>A3A!I104</f>
        <v>2044223.5800000003</v>
      </c>
      <c r="J60" s="1610">
        <f>I60*1.059</f>
        <v>2164832.77122</v>
      </c>
      <c r="K60" s="1610">
        <f>A3A!K104</f>
        <v>2286063.4064083202</v>
      </c>
      <c r="L60" s="369"/>
      <c r="Q60" s="252"/>
      <c r="R60" s="253"/>
    </row>
    <row r="61" spans="1:18" ht="11.25" customHeight="1" x14ac:dyDescent="0.25">
      <c r="A61" s="1545" t="s">
        <v>729</v>
      </c>
      <c r="B61" s="1125"/>
      <c r="C61" s="1606"/>
      <c r="D61" s="1606"/>
      <c r="E61" s="1607"/>
      <c r="F61" s="1608"/>
      <c r="G61" s="1606"/>
      <c r="H61" s="1609"/>
      <c r="I61" s="1610"/>
      <c r="J61" s="1606"/>
      <c r="K61" s="1609"/>
      <c r="L61" s="369"/>
      <c r="Q61" s="252"/>
      <c r="R61" s="253"/>
    </row>
    <row r="62" spans="1:18" ht="11.25" customHeight="1" x14ac:dyDescent="0.25">
      <c r="A62" s="1545" t="s">
        <v>730</v>
      </c>
      <c r="B62" s="1125"/>
      <c r="C62" s="1606"/>
      <c r="D62" s="1606"/>
      <c r="E62" s="1607"/>
      <c r="F62" s="1608"/>
      <c r="G62" s="1606"/>
      <c r="H62" s="1609"/>
      <c r="I62" s="1610"/>
      <c r="J62" s="1606"/>
      <c r="K62" s="1609"/>
      <c r="L62" s="369"/>
      <c r="Q62" s="252"/>
      <c r="R62" s="253"/>
    </row>
    <row r="63" spans="1:18" ht="11.25" customHeight="1" x14ac:dyDescent="0.25">
      <c r="A63" s="1325" t="s">
        <v>1125</v>
      </c>
      <c r="B63" s="1125"/>
      <c r="C63" s="1134">
        <f>SUM(C64)</f>
        <v>3971000</v>
      </c>
      <c r="D63" s="1134">
        <f t="shared" ref="D63:K63" si="15">SUM(D64)</f>
        <v>4162580</v>
      </c>
      <c r="E63" s="1504">
        <f t="shared" si="15"/>
        <v>17926463</v>
      </c>
      <c r="F63" s="1135">
        <f t="shared" si="15"/>
        <v>6946169.3200000003</v>
      </c>
      <c r="G63" s="1134">
        <f t="shared" si="15"/>
        <v>16067657.299999999</v>
      </c>
      <c r="H63" s="1505">
        <f t="shared" si="15"/>
        <v>16067657.299999999</v>
      </c>
      <c r="I63" s="1506">
        <f t="shared" si="15"/>
        <v>18841644.969999999</v>
      </c>
      <c r="J63" s="1134">
        <f t="shared" si="15"/>
        <v>19953302.023229998</v>
      </c>
      <c r="K63" s="1505">
        <f t="shared" si="15"/>
        <v>21070686.936530884</v>
      </c>
      <c r="L63" s="369"/>
      <c r="Q63" s="252"/>
      <c r="R63" s="253"/>
    </row>
    <row r="64" spans="1:18" ht="11.25" customHeight="1" x14ac:dyDescent="0.25">
      <c r="A64" s="1545" t="s">
        <v>727</v>
      </c>
      <c r="B64" s="1125"/>
      <c r="C64" s="1606">
        <v>3971000</v>
      </c>
      <c r="D64" s="1606">
        <v>4162580</v>
      </c>
      <c r="E64" s="1607">
        <v>17926463</v>
      </c>
      <c r="F64" s="1608">
        <v>6946169.3200000003</v>
      </c>
      <c r="G64" s="1606">
        <v>16067657.299999999</v>
      </c>
      <c r="H64" s="1609">
        <v>16067657.299999999</v>
      </c>
      <c r="I64" s="1610">
        <f>A3A!I74</f>
        <v>18841644.969999999</v>
      </c>
      <c r="J64" s="1610">
        <f>I64*1.059</f>
        <v>19953302.023229998</v>
      </c>
      <c r="K64" s="1610">
        <f>A3A!K74</f>
        <v>21070686.936530884</v>
      </c>
      <c r="L64" s="369"/>
      <c r="Q64" s="252"/>
      <c r="R64" s="253"/>
    </row>
    <row r="65" spans="1:18" ht="11.25" customHeight="1" x14ac:dyDescent="0.25">
      <c r="A65" s="1266" t="s">
        <v>292</v>
      </c>
      <c r="B65" s="1125"/>
      <c r="C65" s="1333">
        <f>SUM(C66:C70)</f>
        <v>0</v>
      </c>
      <c r="D65" s="1333">
        <f t="shared" ref="D65:K65" si="16">SUM(D66:D70)</f>
        <v>0</v>
      </c>
      <c r="E65" s="1501">
        <f t="shared" si="16"/>
        <v>0</v>
      </c>
      <c r="F65" s="1337">
        <f t="shared" si="16"/>
        <v>0</v>
      </c>
      <c r="G65" s="1333">
        <f t="shared" si="16"/>
        <v>0</v>
      </c>
      <c r="H65" s="1502">
        <f t="shared" si="16"/>
        <v>0</v>
      </c>
      <c r="I65" s="1503">
        <f t="shared" si="16"/>
        <v>0</v>
      </c>
      <c r="J65" s="1333">
        <f t="shared" si="16"/>
        <v>0</v>
      </c>
      <c r="K65" s="1502">
        <f t="shared" si="16"/>
        <v>0</v>
      </c>
      <c r="L65" s="369"/>
      <c r="Q65" s="252"/>
      <c r="R65" s="253"/>
    </row>
    <row r="66" spans="1:18" ht="11.25" customHeight="1" x14ac:dyDescent="0.25">
      <c r="A66" s="1325" t="s">
        <v>95</v>
      </c>
      <c r="B66" s="1125"/>
      <c r="C66" s="1606">
        <v>0</v>
      </c>
      <c r="D66" s="1606">
        <v>0</v>
      </c>
      <c r="E66" s="1606">
        <v>0</v>
      </c>
      <c r="F66" s="1606">
        <v>0</v>
      </c>
      <c r="G66" s="1606">
        <v>0</v>
      </c>
      <c r="H66" s="1606">
        <v>0</v>
      </c>
      <c r="I66" s="1606">
        <v>0</v>
      </c>
      <c r="J66" s="1606">
        <v>0</v>
      </c>
      <c r="K66" s="1606">
        <v>0</v>
      </c>
      <c r="L66" s="369"/>
      <c r="Q66" s="252"/>
      <c r="R66" s="253"/>
    </row>
    <row r="67" spans="1:18" ht="11.25" customHeight="1" x14ac:dyDescent="0.25">
      <c r="A67" s="1325" t="s">
        <v>1234</v>
      </c>
      <c r="B67" s="1125"/>
      <c r="C67" s="1606">
        <v>0</v>
      </c>
      <c r="D67" s="1606">
        <v>0</v>
      </c>
      <c r="E67" s="1606">
        <v>0</v>
      </c>
      <c r="F67" s="1606">
        <v>0</v>
      </c>
      <c r="G67" s="1606">
        <v>0</v>
      </c>
      <c r="H67" s="1606">
        <v>0</v>
      </c>
      <c r="I67" s="1606">
        <v>0</v>
      </c>
      <c r="J67" s="1606">
        <v>0</v>
      </c>
      <c r="K67" s="1606">
        <v>0</v>
      </c>
      <c r="L67" s="369"/>
      <c r="Q67" s="252"/>
      <c r="R67" s="253"/>
    </row>
    <row r="68" spans="1:18" ht="11.25" customHeight="1" x14ac:dyDescent="0.25">
      <c r="A68" s="1325" t="s">
        <v>625</v>
      </c>
      <c r="B68" s="1125"/>
      <c r="C68" s="1606">
        <v>0</v>
      </c>
      <c r="D68" s="1606">
        <v>0</v>
      </c>
      <c r="E68" s="1606">
        <v>0</v>
      </c>
      <c r="F68" s="1606">
        <v>0</v>
      </c>
      <c r="G68" s="1606">
        <v>0</v>
      </c>
      <c r="H68" s="1606">
        <v>0</v>
      </c>
      <c r="I68" s="1606">
        <v>0</v>
      </c>
      <c r="J68" s="1606">
        <v>0</v>
      </c>
      <c r="K68" s="1606">
        <v>0</v>
      </c>
      <c r="L68" s="369"/>
      <c r="Q68" s="252"/>
      <c r="R68" s="253"/>
    </row>
    <row r="69" spans="1:18" ht="11.25" customHeight="1" x14ac:dyDescent="0.25">
      <c r="A69" s="1325" t="s">
        <v>96</v>
      </c>
      <c r="B69" s="1183"/>
      <c r="C69" s="1606">
        <v>0</v>
      </c>
      <c r="D69" s="1606">
        <v>0</v>
      </c>
      <c r="E69" s="1606">
        <v>0</v>
      </c>
      <c r="F69" s="1606">
        <v>0</v>
      </c>
      <c r="G69" s="1606">
        <v>0</v>
      </c>
      <c r="H69" s="1606">
        <v>0</v>
      </c>
      <c r="I69" s="1606">
        <v>0</v>
      </c>
      <c r="J69" s="1606">
        <v>0</v>
      </c>
      <c r="K69" s="1606">
        <v>0</v>
      </c>
      <c r="L69" s="369"/>
      <c r="Q69" s="252"/>
      <c r="R69" s="253"/>
    </row>
    <row r="70" spans="1:18" ht="11.25" customHeight="1" x14ac:dyDescent="0.25">
      <c r="A70" s="1325" t="s">
        <v>1235</v>
      </c>
      <c r="B70" s="1183"/>
      <c r="C70" s="1606">
        <v>0</v>
      </c>
      <c r="D70" s="1606">
        <v>0</v>
      </c>
      <c r="E70" s="1606">
        <v>0</v>
      </c>
      <c r="F70" s="1606">
        <v>0</v>
      </c>
      <c r="G70" s="1606">
        <v>0</v>
      </c>
      <c r="H70" s="1606">
        <v>0</v>
      </c>
      <c r="I70" s="1606">
        <v>0</v>
      </c>
      <c r="J70" s="1606">
        <v>0</v>
      </c>
      <c r="K70" s="1606">
        <v>0</v>
      </c>
      <c r="L70" s="369"/>
      <c r="Q70" s="252"/>
      <c r="R70" s="253"/>
    </row>
    <row r="71" spans="1:18" ht="11.25" customHeight="1" x14ac:dyDescent="0.25">
      <c r="A71" s="1184" t="str">
        <f>"Total "&amp;A4</f>
        <v>Total Revenue - Standard</v>
      </c>
      <c r="B71" s="1183">
        <v>2</v>
      </c>
      <c r="C71" s="267">
        <f>C5+C15+C37+C52+C65</f>
        <v>381529743</v>
      </c>
      <c r="D71" s="267">
        <f>D5+D15+D37+D52+D65</f>
        <v>510801536</v>
      </c>
      <c r="E71" s="1511">
        <f t="shared" ref="E71:J71" si="17">E5+E15+E37+E52+E65</f>
        <v>501824726</v>
      </c>
      <c r="F71" s="270">
        <f t="shared" si="17"/>
        <v>473760122.98799998</v>
      </c>
      <c r="G71" s="267">
        <f t="shared" si="17"/>
        <v>501570707.58799994</v>
      </c>
      <c r="H71" s="1512">
        <f t="shared" si="17"/>
        <v>501570707.58799994</v>
      </c>
      <c r="I71" s="1513">
        <f t="shared" si="17"/>
        <v>609076076.78999996</v>
      </c>
      <c r="J71" s="267">
        <f t="shared" si="17"/>
        <v>645011565.32060993</v>
      </c>
      <c r="K71" s="1512">
        <f>K5+K15+K37+K52+K65</f>
        <v>681132212.97856426</v>
      </c>
      <c r="L71" s="369"/>
      <c r="Q71" s="271"/>
      <c r="R71" s="272"/>
    </row>
    <row r="72" spans="1:18" ht="5.0999999999999996" customHeight="1" x14ac:dyDescent="0.25">
      <c r="A72" s="1145"/>
      <c r="B72" s="1183"/>
      <c r="C72" s="203"/>
      <c r="D72" s="203"/>
      <c r="E72" s="204"/>
      <c r="F72" s="205"/>
      <c r="G72" s="203"/>
      <c r="H72" s="202"/>
      <c r="I72" s="206"/>
      <c r="J72" s="203"/>
      <c r="K72" s="204"/>
      <c r="L72" s="369"/>
      <c r="Q72" s="245"/>
    </row>
    <row r="73" spans="1:18" ht="11.25" customHeight="1" x14ac:dyDescent="0.25">
      <c r="A73" s="1124" t="s">
        <v>430</v>
      </c>
      <c r="B73" s="1185"/>
      <c r="C73" s="203"/>
      <c r="D73" s="203"/>
      <c r="E73" s="204"/>
      <c r="F73" s="205"/>
      <c r="G73" s="203"/>
      <c r="H73" s="202"/>
      <c r="I73" s="206"/>
      <c r="J73" s="203"/>
      <c r="K73" s="204"/>
      <c r="L73" s="369"/>
      <c r="Q73" s="245"/>
    </row>
    <row r="74" spans="1:18" ht="11.25" customHeight="1" x14ac:dyDescent="0.25">
      <c r="A74" s="1266" t="str">
        <f>A5</f>
        <v>Municipal governance and administration</v>
      </c>
      <c r="B74" s="1185"/>
      <c r="C74" s="1333">
        <f t="shared" ref="C74:K74" si="18">C75+C78+C79</f>
        <v>367303885</v>
      </c>
      <c r="D74" s="1333">
        <f t="shared" si="18"/>
        <v>223970933.15000001</v>
      </c>
      <c r="E74" s="1501">
        <f t="shared" si="18"/>
        <v>387708167</v>
      </c>
      <c r="F74" s="1337">
        <f t="shared" si="18"/>
        <v>328424291.12599999</v>
      </c>
      <c r="G74" s="1333">
        <f t="shared" si="18"/>
        <v>191750218.21999997</v>
      </c>
      <c r="H74" s="1502">
        <f t="shared" si="18"/>
        <v>191750218.21999997</v>
      </c>
      <c r="I74" s="1503">
        <f t="shared" si="18"/>
        <v>360737140.43000001</v>
      </c>
      <c r="J74" s="1333">
        <f t="shared" si="18"/>
        <v>382020631.71537</v>
      </c>
      <c r="K74" s="1502">
        <f t="shared" si="18"/>
        <v>403413787.09143066</v>
      </c>
      <c r="L74" s="369"/>
      <c r="Q74" s="245"/>
    </row>
    <row r="75" spans="1:18" ht="11.25" customHeight="1" x14ac:dyDescent="0.25">
      <c r="A75" s="1325" t="str">
        <f t="shared" ref="A75:A138" si="19">A6</f>
        <v>Executive and council</v>
      </c>
      <c r="B75" s="1185"/>
      <c r="C75" s="1106">
        <f t="shared" ref="C75:K75" si="20">SUM(C76:C77)</f>
        <v>367303885</v>
      </c>
      <c r="D75" s="1106">
        <f t="shared" si="20"/>
        <v>193435075.56</v>
      </c>
      <c r="E75" s="1419">
        <f t="shared" si="20"/>
        <v>323156469</v>
      </c>
      <c r="F75" s="1107">
        <f t="shared" si="20"/>
        <v>286978484.12599999</v>
      </c>
      <c r="G75" s="1106">
        <f t="shared" si="20"/>
        <v>152774664.95999998</v>
      </c>
      <c r="H75" s="1143">
        <f t="shared" si="20"/>
        <v>152774664.95999998</v>
      </c>
      <c r="I75" s="1420">
        <f t="shared" si="20"/>
        <v>263580517.51999998</v>
      </c>
      <c r="J75" s="1106">
        <f t="shared" si="20"/>
        <v>279131768.05368</v>
      </c>
      <c r="K75" s="1143">
        <f t="shared" si="20"/>
        <v>294763147.06468606</v>
      </c>
      <c r="L75" s="369"/>
      <c r="Q75" s="245"/>
    </row>
    <row r="76" spans="1:18" ht="11.25" customHeight="1" x14ac:dyDescent="0.25">
      <c r="A76" s="1545" t="str">
        <f t="shared" si="19"/>
        <v>Mayor and Council</v>
      </c>
      <c r="B76" s="1185"/>
      <c r="C76" s="1606">
        <v>257641152</v>
      </c>
      <c r="D76" s="1606">
        <v>181960218.53999999</v>
      </c>
      <c r="E76" s="1607">
        <v>313465145</v>
      </c>
      <c r="F76" s="1608">
        <v>268197317.12599999</v>
      </c>
      <c r="G76" s="1606">
        <v>134376346.42999998</v>
      </c>
      <c r="H76" s="1609">
        <v>134376346.42999998</v>
      </c>
      <c r="I76" s="1610">
        <f>A3A!I156</f>
        <v>244171535.51999998</v>
      </c>
      <c r="J76" s="1610">
        <f>A3A!J156</f>
        <v>258577656.11567998</v>
      </c>
      <c r="K76" s="1610">
        <f>A3A!K156</f>
        <v>273058004.85815805</v>
      </c>
      <c r="L76" s="369"/>
      <c r="Q76" s="245"/>
    </row>
    <row r="77" spans="1:18" ht="11.25" customHeight="1" x14ac:dyDescent="0.25">
      <c r="A77" s="1545" t="str">
        <f t="shared" si="19"/>
        <v>Municipal Manager</v>
      </c>
      <c r="B77" s="1185"/>
      <c r="C77" s="1606">
        <v>109662733</v>
      </c>
      <c r="D77" s="1606">
        <v>11474857.019999998</v>
      </c>
      <c r="E77" s="1607">
        <v>9691324</v>
      </c>
      <c r="F77" s="1608">
        <v>18781167</v>
      </c>
      <c r="G77" s="1606">
        <v>18398318.530000001</v>
      </c>
      <c r="H77" s="1609">
        <v>18398318.530000001</v>
      </c>
      <c r="I77" s="1610">
        <f>A3A!I217</f>
        <v>19408982</v>
      </c>
      <c r="J77" s="1610">
        <f>A3A!J217</f>
        <v>20554111.938000001</v>
      </c>
      <c r="K77" s="1610">
        <f>A3A!K217</f>
        <v>21705142.206527997</v>
      </c>
      <c r="L77" s="369"/>
      <c r="Q77" s="245"/>
    </row>
    <row r="78" spans="1:18" ht="11.25" customHeight="1" x14ac:dyDescent="0.25">
      <c r="A78" s="1325" t="str">
        <f t="shared" si="19"/>
        <v>Budget and treasury office</v>
      </c>
      <c r="B78" s="1185"/>
      <c r="C78" s="1611"/>
      <c r="D78" s="1611">
        <v>17983751.189999998</v>
      </c>
      <c r="E78" s="1612">
        <v>30897526</v>
      </c>
      <c r="F78" s="1613">
        <v>19870972</v>
      </c>
      <c r="G78" s="1611">
        <v>16071339.51</v>
      </c>
      <c r="H78" s="1614">
        <v>16071339.51</v>
      </c>
      <c r="I78" s="1615">
        <f>A3A!I287</f>
        <v>72906148</v>
      </c>
      <c r="J78" s="1615">
        <f>A3A!J287</f>
        <v>77207610.731999993</v>
      </c>
      <c r="K78" s="1610">
        <f>A3A!K287</f>
        <v>81531236.932991996</v>
      </c>
      <c r="L78" s="369"/>
      <c r="Q78" s="245"/>
    </row>
    <row r="79" spans="1:18" ht="11.25" customHeight="1" x14ac:dyDescent="0.25">
      <c r="A79" s="1325" t="str">
        <f t="shared" si="19"/>
        <v>Corporate services</v>
      </c>
      <c r="B79" s="1185"/>
      <c r="C79" s="1106">
        <f t="shared" ref="C79:K79" si="21">SUM(C80:C83)</f>
        <v>0</v>
      </c>
      <c r="D79" s="1106">
        <f t="shared" si="21"/>
        <v>12552106.399999997</v>
      </c>
      <c r="E79" s="1419">
        <f t="shared" si="21"/>
        <v>33654172</v>
      </c>
      <c r="F79" s="1107">
        <f t="shared" si="21"/>
        <v>21574835</v>
      </c>
      <c r="G79" s="1106">
        <f t="shared" si="21"/>
        <v>22904213.75</v>
      </c>
      <c r="H79" s="1143">
        <f t="shared" si="21"/>
        <v>22904213.75</v>
      </c>
      <c r="I79" s="1420">
        <f t="shared" si="21"/>
        <v>24250474.91</v>
      </c>
      <c r="J79" s="1106">
        <f t="shared" si="21"/>
        <v>25681252.929690003</v>
      </c>
      <c r="K79" s="1143">
        <f t="shared" si="21"/>
        <v>27119403.093752641</v>
      </c>
      <c r="L79" s="369"/>
      <c r="Q79" s="245"/>
    </row>
    <row r="80" spans="1:18" ht="11.25" customHeight="1" x14ac:dyDescent="0.25">
      <c r="A80" s="1545" t="str">
        <f t="shared" si="19"/>
        <v>Human Resources</v>
      </c>
      <c r="B80" s="1185"/>
      <c r="C80" s="1606"/>
      <c r="D80" s="1606">
        <v>12552106.399999997</v>
      </c>
      <c r="E80" s="1607">
        <v>33654172</v>
      </c>
      <c r="F80" s="1608">
        <v>21574835</v>
      </c>
      <c r="G80" s="1606">
        <v>22904213.75</v>
      </c>
      <c r="H80" s="1609">
        <v>22904213.75</v>
      </c>
      <c r="I80" s="1610">
        <f>A3A!I541</f>
        <v>24250474.91</v>
      </c>
      <c r="J80" s="1610">
        <f>A3A!J541</f>
        <v>25681252.929690003</v>
      </c>
      <c r="K80" s="1610">
        <f>A3A!K541</f>
        <v>27119403.093752641</v>
      </c>
      <c r="L80" s="369"/>
      <c r="Q80" s="245"/>
    </row>
    <row r="81" spans="1:17" ht="11.25" customHeight="1" x14ac:dyDescent="0.25">
      <c r="A81" s="1545" t="str">
        <f t="shared" si="19"/>
        <v>Information Technology</v>
      </c>
      <c r="B81" s="1185"/>
      <c r="C81" s="1606"/>
      <c r="D81" s="1606"/>
      <c r="E81" s="1607"/>
      <c r="F81" s="1608"/>
      <c r="G81" s="1606"/>
      <c r="H81" s="1609"/>
      <c r="I81" s="1610"/>
      <c r="J81" s="1606"/>
      <c r="K81" s="1609"/>
      <c r="L81" s="369"/>
      <c r="Q81" s="245"/>
    </row>
    <row r="82" spans="1:17" ht="11.25" customHeight="1" x14ac:dyDescent="0.25">
      <c r="A82" s="1545" t="str">
        <f t="shared" si="19"/>
        <v>Property Services</v>
      </c>
      <c r="B82" s="1185"/>
      <c r="C82" s="1606"/>
      <c r="D82" s="1606"/>
      <c r="E82" s="1607"/>
      <c r="F82" s="1608"/>
      <c r="G82" s="1606"/>
      <c r="H82" s="1609"/>
      <c r="I82" s="1610"/>
      <c r="J82" s="1606"/>
      <c r="K82" s="1609"/>
      <c r="L82" s="369"/>
      <c r="Q82" s="245"/>
    </row>
    <row r="83" spans="1:17" ht="11.25" customHeight="1" x14ac:dyDescent="0.25">
      <c r="A83" s="1545" t="str">
        <f t="shared" si="19"/>
        <v>Other Admin</v>
      </c>
      <c r="B83" s="1185"/>
      <c r="C83" s="1606"/>
      <c r="D83" s="1606"/>
      <c r="E83" s="1607"/>
      <c r="F83" s="1608"/>
      <c r="G83" s="1606"/>
      <c r="H83" s="1609"/>
      <c r="I83" s="1610"/>
      <c r="J83" s="1606"/>
      <c r="K83" s="1609"/>
      <c r="L83" s="369"/>
      <c r="Q83" s="245"/>
    </row>
    <row r="84" spans="1:17" ht="11.25" customHeight="1" x14ac:dyDescent="0.25">
      <c r="A84" s="1266" t="str">
        <f t="shared" si="19"/>
        <v>Community and public safety</v>
      </c>
      <c r="B84" s="1185"/>
      <c r="C84" s="1333">
        <f t="shared" ref="C84:K84" si="22">C85+C94+C95+C101+C102</f>
        <v>0</v>
      </c>
      <c r="D84" s="1333">
        <f t="shared" si="22"/>
        <v>27469485.790000003</v>
      </c>
      <c r="E84" s="1501">
        <f t="shared" si="22"/>
        <v>38903209</v>
      </c>
      <c r="F84" s="1337">
        <f t="shared" si="22"/>
        <v>34251971</v>
      </c>
      <c r="G84" s="1333">
        <f t="shared" si="22"/>
        <v>34877622.509999998</v>
      </c>
      <c r="H84" s="1502">
        <f t="shared" si="22"/>
        <v>34877622.509999998</v>
      </c>
      <c r="I84" s="1503">
        <f t="shared" si="22"/>
        <v>38660015</v>
      </c>
      <c r="J84" s="1333">
        <f t="shared" si="22"/>
        <v>40940955.884999998</v>
      </c>
      <c r="K84" s="1502">
        <f t="shared" si="22"/>
        <v>43233649.414559998</v>
      </c>
      <c r="L84" s="369"/>
      <c r="Q84" s="245"/>
    </row>
    <row r="85" spans="1:17" ht="11.25" customHeight="1" x14ac:dyDescent="0.25">
      <c r="A85" s="1325" t="str">
        <f t="shared" si="19"/>
        <v>Community and social services</v>
      </c>
      <c r="B85" s="1185"/>
      <c r="C85" s="1134">
        <f t="shared" ref="C85:K85" si="23">SUM(C86:C93)</f>
        <v>0</v>
      </c>
      <c r="D85" s="1134">
        <f t="shared" si="23"/>
        <v>27469485.790000003</v>
      </c>
      <c r="E85" s="1504">
        <f t="shared" si="23"/>
        <v>38903209</v>
      </c>
      <c r="F85" s="1135">
        <f t="shared" si="23"/>
        <v>30002590</v>
      </c>
      <c r="G85" s="1134">
        <f t="shared" si="23"/>
        <v>30681022</v>
      </c>
      <c r="H85" s="1505">
        <f t="shared" si="23"/>
        <v>30681022</v>
      </c>
      <c r="I85" s="1506">
        <f t="shared" si="23"/>
        <v>15274164</v>
      </c>
      <c r="J85" s="1134">
        <f t="shared" si="23"/>
        <v>16175339.676000001</v>
      </c>
      <c r="K85" s="1505">
        <f t="shared" si="23"/>
        <v>17081158.697855998</v>
      </c>
      <c r="L85" s="369"/>
      <c r="Q85" s="245"/>
    </row>
    <row r="86" spans="1:17" ht="11.25" customHeight="1" x14ac:dyDescent="0.25">
      <c r="A86" s="1545" t="str">
        <f t="shared" si="19"/>
        <v>Libraries and Archives</v>
      </c>
      <c r="B86" s="1185"/>
      <c r="C86" s="1606"/>
      <c r="D86" s="1606"/>
      <c r="E86" s="1607"/>
      <c r="F86" s="1608"/>
      <c r="G86" s="1606"/>
      <c r="H86" s="1609"/>
      <c r="I86" s="1610"/>
      <c r="J86" s="1606"/>
      <c r="K86" s="1609"/>
      <c r="L86" s="369"/>
      <c r="Q86" s="245"/>
    </row>
    <row r="87" spans="1:17" ht="11.25" customHeight="1" x14ac:dyDescent="0.25">
      <c r="A87" s="1545" t="str">
        <f t="shared" si="19"/>
        <v>Museums &amp; Art Galleries etc</v>
      </c>
      <c r="B87" s="1185"/>
      <c r="C87" s="1606"/>
      <c r="D87" s="1606"/>
      <c r="E87" s="1607"/>
      <c r="F87" s="1608"/>
      <c r="G87" s="1606"/>
      <c r="H87" s="1609"/>
      <c r="I87" s="1610"/>
      <c r="J87" s="1606"/>
      <c r="K87" s="1609"/>
      <c r="L87" s="369"/>
      <c r="Q87" s="245"/>
    </row>
    <row r="88" spans="1:17" ht="11.25" customHeight="1" x14ac:dyDescent="0.25">
      <c r="A88" s="1545" t="str">
        <f t="shared" si="19"/>
        <v>Community halls and Facilities</v>
      </c>
      <c r="B88" s="1185"/>
      <c r="C88" s="1606"/>
      <c r="D88" s="1606">
        <v>668538.09</v>
      </c>
      <c r="E88" s="1607">
        <v>1205271</v>
      </c>
      <c r="F88" s="1608">
        <v>310000</v>
      </c>
      <c r="G88" s="1606">
        <v>271111</v>
      </c>
      <c r="H88" s="1609">
        <v>271111</v>
      </c>
      <c r="I88" s="1610">
        <f>A3A!I691</f>
        <v>9029633</v>
      </c>
      <c r="J88" s="1610">
        <f>A3A!J691</f>
        <v>9562381.347000001</v>
      </c>
      <c r="K88" s="1610">
        <f>A3A!K691</f>
        <v>10097874.702431999</v>
      </c>
      <c r="L88" s="369"/>
      <c r="Q88" s="245"/>
    </row>
    <row r="89" spans="1:17" ht="11.25" customHeight="1" x14ac:dyDescent="0.25">
      <c r="A89" s="1545" t="str">
        <f t="shared" si="19"/>
        <v>Cemeteries &amp; Crematoriums</v>
      </c>
      <c r="B89" s="1185"/>
      <c r="C89" s="1606"/>
      <c r="D89" s="1606"/>
      <c r="E89" s="1607"/>
      <c r="F89" s="1608">
        <v>0</v>
      </c>
      <c r="G89" s="1606">
        <v>0</v>
      </c>
      <c r="H89" s="1609">
        <v>0</v>
      </c>
      <c r="I89" s="1610"/>
      <c r="J89" s="1606"/>
      <c r="K89" s="1609"/>
      <c r="L89" s="369"/>
      <c r="Q89" s="245"/>
    </row>
    <row r="90" spans="1:17" ht="11.25" customHeight="1" x14ac:dyDescent="0.25">
      <c r="A90" s="1545" t="str">
        <f t="shared" si="19"/>
        <v>Child Care</v>
      </c>
      <c r="B90" s="1185"/>
      <c r="C90" s="1606"/>
      <c r="D90" s="1606"/>
      <c r="E90" s="1607"/>
      <c r="F90" s="1608">
        <v>0</v>
      </c>
      <c r="G90" s="1606">
        <v>0</v>
      </c>
      <c r="H90" s="1609">
        <v>0</v>
      </c>
      <c r="I90" s="1610"/>
      <c r="J90" s="1606"/>
      <c r="K90" s="1609"/>
      <c r="L90" s="369"/>
      <c r="Q90" s="245"/>
    </row>
    <row r="91" spans="1:17" ht="11.25" customHeight="1" x14ac:dyDescent="0.25">
      <c r="A91" s="1545" t="str">
        <f t="shared" si="19"/>
        <v>Aged Care</v>
      </c>
      <c r="B91" s="1185"/>
      <c r="C91" s="1606"/>
      <c r="D91" s="1606"/>
      <c r="E91" s="1607"/>
      <c r="F91" s="1608">
        <v>0</v>
      </c>
      <c r="G91" s="1606">
        <v>0</v>
      </c>
      <c r="H91" s="1609">
        <v>0</v>
      </c>
      <c r="I91" s="1610"/>
      <c r="J91" s="1606"/>
      <c r="K91" s="1609"/>
      <c r="L91" s="369"/>
      <c r="Q91" s="245"/>
    </row>
    <row r="92" spans="1:17" ht="11.25" customHeight="1" x14ac:dyDescent="0.25">
      <c r="A92" s="1545" t="str">
        <f t="shared" si="19"/>
        <v>Other Community</v>
      </c>
      <c r="B92" s="1185"/>
      <c r="C92" s="1606"/>
      <c r="D92" s="1606">
        <v>26800947.700000003</v>
      </c>
      <c r="E92" s="1607">
        <v>37697938</v>
      </c>
      <c r="F92" s="1608">
        <v>29692590</v>
      </c>
      <c r="G92" s="1606">
        <v>30409911</v>
      </c>
      <c r="H92" s="1609">
        <v>30409911</v>
      </c>
      <c r="I92" s="1610">
        <f>A3A!I591</f>
        <v>6244531</v>
      </c>
      <c r="J92" s="1610">
        <f>A3A!J591</f>
        <v>6612958.3289999999</v>
      </c>
      <c r="K92" s="1610">
        <f>A3A!K591</f>
        <v>6983283.9954239996</v>
      </c>
      <c r="L92" s="369"/>
      <c r="Q92" s="245"/>
    </row>
    <row r="93" spans="1:17" ht="11.25" customHeight="1" x14ac:dyDescent="0.25">
      <c r="A93" s="1545" t="str">
        <f t="shared" si="19"/>
        <v>Other Social</v>
      </c>
      <c r="B93" s="1185"/>
      <c r="C93" s="1606"/>
      <c r="D93" s="1606"/>
      <c r="E93" s="1607"/>
      <c r="F93" s="1608"/>
      <c r="G93" s="1606"/>
      <c r="H93" s="1609"/>
      <c r="I93" s="1610"/>
      <c r="J93" s="1606"/>
      <c r="K93" s="1609"/>
      <c r="L93" s="369"/>
      <c r="Q93" s="245"/>
    </row>
    <row r="94" spans="1:17" ht="11.25" customHeight="1" x14ac:dyDescent="0.25">
      <c r="A94" s="1325" t="str">
        <f t="shared" si="19"/>
        <v>Sport and recreation</v>
      </c>
      <c r="B94" s="1185"/>
      <c r="C94" s="1606"/>
      <c r="D94" s="1606"/>
      <c r="E94" s="1607"/>
      <c r="F94" s="1608"/>
      <c r="G94" s="1606"/>
      <c r="H94" s="1609"/>
      <c r="I94" s="1610"/>
      <c r="J94" s="1606"/>
      <c r="K94" s="1609"/>
      <c r="L94" s="369"/>
      <c r="Q94" s="245"/>
    </row>
    <row r="95" spans="1:17" ht="11.25" customHeight="1" x14ac:dyDescent="0.25">
      <c r="A95" s="1325" t="str">
        <f t="shared" si="19"/>
        <v>Public safety</v>
      </c>
      <c r="B95" s="1185"/>
      <c r="C95" s="1134">
        <f t="shared" ref="C95:K95" si="24">SUM(C96:C100)</f>
        <v>0</v>
      </c>
      <c r="D95" s="1134">
        <f t="shared" si="24"/>
        <v>0</v>
      </c>
      <c r="E95" s="1504">
        <f t="shared" si="24"/>
        <v>0</v>
      </c>
      <c r="F95" s="1135">
        <f t="shared" si="24"/>
        <v>4249381</v>
      </c>
      <c r="G95" s="1134">
        <f t="shared" si="24"/>
        <v>4196600.51</v>
      </c>
      <c r="H95" s="1505">
        <f t="shared" si="24"/>
        <v>4196600.51</v>
      </c>
      <c r="I95" s="1506">
        <f t="shared" si="24"/>
        <v>23385851</v>
      </c>
      <c r="J95" s="1134">
        <f t="shared" si="24"/>
        <v>24765616.208999999</v>
      </c>
      <c r="K95" s="1505">
        <f t="shared" si="24"/>
        <v>26152490.716704</v>
      </c>
      <c r="L95" s="369"/>
      <c r="Q95" s="245"/>
    </row>
    <row r="96" spans="1:17" ht="11.25" customHeight="1" x14ac:dyDescent="0.25">
      <c r="A96" s="1545" t="str">
        <f t="shared" si="19"/>
        <v>Police</v>
      </c>
      <c r="B96" s="1185"/>
      <c r="C96" s="1606"/>
      <c r="D96" s="1606"/>
      <c r="E96" s="1607"/>
      <c r="F96" s="1608"/>
      <c r="G96" s="1606"/>
      <c r="H96" s="1609"/>
      <c r="I96" s="1610"/>
      <c r="J96" s="1606"/>
      <c r="K96" s="1609"/>
      <c r="L96" s="369"/>
      <c r="Q96" s="245"/>
    </row>
    <row r="97" spans="1:17" ht="11.25" customHeight="1" x14ac:dyDescent="0.25">
      <c r="A97" s="1545" t="str">
        <f t="shared" si="19"/>
        <v>Fire</v>
      </c>
      <c r="B97" s="1185"/>
      <c r="C97" s="1606"/>
      <c r="D97" s="1606"/>
      <c r="E97" s="1607"/>
      <c r="F97" s="1608"/>
      <c r="G97" s="1606"/>
      <c r="H97" s="1609"/>
      <c r="I97" s="1610"/>
      <c r="J97" s="1606"/>
      <c r="K97" s="1609"/>
      <c r="L97" s="369"/>
      <c r="Q97" s="245"/>
    </row>
    <row r="98" spans="1:17" ht="11.25" customHeight="1" x14ac:dyDescent="0.25">
      <c r="A98" s="1545" t="str">
        <f t="shared" si="19"/>
        <v>Civil Defence</v>
      </c>
      <c r="B98" s="1185"/>
      <c r="C98" s="1606"/>
      <c r="D98" s="1606"/>
      <c r="E98" s="1607"/>
      <c r="F98" s="1608"/>
      <c r="G98" s="1606"/>
      <c r="H98" s="1609"/>
      <c r="I98" s="1610"/>
      <c r="J98" s="1606"/>
      <c r="K98" s="1609"/>
      <c r="L98" s="369"/>
      <c r="Q98" s="245"/>
    </row>
    <row r="99" spans="1:17" ht="11.25" customHeight="1" x14ac:dyDescent="0.25">
      <c r="A99" s="1545" t="str">
        <f t="shared" si="19"/>
        <v>Street Lighting</v>
      </c>
      <c r="B99" s="1185"/>
      <c r="C99" s="1606"/>
      <c r="D99" s="1606"/>
      <c r="E99" s="1607"/>
      <c r="F99" s="1608"/>
      <c r="G99" s="1606"/>
      <c r="H99" s="1609"/>
      <c r="I99" s="1610"/>
      <c r="J99" s="1606"/>
      <c r="K99" s="1609"/>
      <c r="L99" s="369"/>
      <c r="Q99" s="245"/>
    </row>
    <row r="100" spans="1:17" ht="11.25" customHeight="1" x14ac:dyDescent="0.25">
      <c r="A100" s="1545" t="str">
        <f t="shared" si="19"/>
        <v>Other</v>
      </c>
      <c r="B100" s="1185"/>
      <c r="C100" s="1606"/>
      <c r="D100" s="1606"/>
      <c r="E100" s="1607"/>
      <c r="F100" s="1608">
        <v>4249381</v>
      </c>
      <c r="G100" s="1606">
        <v>4196600.51</v>
      </c>
      <c r="H100" s="1609">
        <v>4196600.51</v>
      </c>
      <c r="I100" s="1610">
        <f>A3A!I661</f>
        <v>23385851</v>
      </c>
      <c r="J100" s="1610">
        <f>A3A!J661</f>
        <v>24765616.208999999</v>
      </c>
      <c r="K100" s="1610">
        <f>A3A!K661</f>
        <v>26152490.716704</v>
      </c>
      <c r="L100" s="369"/>
      <c r="Q100" s="245"/>
    </row>
    <row r="101" spans="1:17" ht="11.25" customHeight="1" x14ac:dyDescent="0.25">
      <c r="A101" s="1325" t="str">
        <f t="shared" si="19"/>
        <v>Housing</v>
      </c>
      <c r="B101" s="1185"/>
      <c r="C101" s="1616"/>
      <c r="D101" s="1616"/>
      <c r="E101" s="1617"/>
      <c r="F101" s="1618"/>
      <c r="G101" s="1616"/>
      <c r="H101" s="1619"/>
      <c r="I101" s="1620"/>
      <c r="J101" s="1616"/>
      <c r="K101" s="1619"/>
      <c r="L101" s="369"/>
      <c r="Q101" s="245"/>
    </row>
    <row r="102" spans="1:17" ht="11.25" customHeight="1" x14ac:dyDescent="0.25">
      <c r="A102" s="1325" t="str">
        <f t="shared" si="19"/>
        <v>Health</v>
      </c>
      <c r="B102" s="1185"/>
      <c r="C102" s="1134">
        <f t="shared" ref="C102:K102" si="25">SUM(C103:C105)</f>
        <v>0</v>
      </c>
      <c r="D102" s="1134">
        <f t="shared" si="25"/>
        <v>0</v>
      </c>
      <c r="E102" s="1504">
        <f t="shared" si="25"/>
        <v>0</v>
      </c>
      <c r="F102" s="1135">
        <f t="shared" si="25"/>
        <v>0</v>
      </c>
      <c r="G102" s="1134">
        <f t="shared" si="25"/>
        <v>0</v>
      </c>
      <c r="H102" s="1505">
        <f t="shared" si="25"/>
        <v>0</v>
      </c>
      <c r="I102" s="1506">
        <f t="shared" si="25"/>
        <v>0</v>
      </c>
      <c r="J102" s="1134">
        <f t="shared" si="25"/>
        <v>0</v>
      </c>
      <c r="K102" s="1505">
        <f t="shared" si="25"/>
        <v>0</v>
      </c>
      <c r="L102" s="369"/>
      <c r="Q102" s="245"/>
    </row>
    <row r="103" spans="1:17" ht="11.25" customHeight="1" x14ac:dyDescent="0.25">
      <c r="A103" s="1545" t="str">
        <f t="shared" si="19"/>
        <v>Clinics</v>
      </c>
      <c r="B103" s="1185"/>
      <c r="C103" s="1606"/>
      <c r="D103" s="1606"/>
      <c r="E103" s="1607"/>
      <c r="F103" s="1608"/>
      <c r="G103" s="1606"/>
      <c r="H103" s="1609"/>
      <c r="I103" s="1610"/>
      <c r="J103" s="1606"/>
      <c r="K103" s="1609"/>
      <c r="L103" s="369"/>
      <c r="Q103" s="245"/>
    </row>
    <row r="104" spans="1:17" ht="11.25" customHeight="1" x14ac:dyDescent="0.25">
      <c r="A104" s="1545" t="str">
        <f t="shared" si="19"/>
        <v>Ambulance</v>
      </c>
      <c r="B104" s="1185"/>
      <c r="C104" s="1606"/>
      <c r="D104" s="1606"/>
      <c r="E104" s="1607"/>
      <c r="F104" s="1608"/>
      <c r="G104" s="1606"/>
      <c r="H104" s="1609"/>
      <c r="I104" s="1610"/>
      <c r="J104" s="1606"/>
      <c r="K104" s="1609"/>
      <c r="L104" s="369"/>
      <c r="Q104" s="245"/>
    </row>
    <row r="105" spans="1:17" ht="11.25" customHeight="1" x14ac:dyDescent="0.25">
      <c r="A105" s="1545" t="str">
        <f t="shared" si="19"/>
        <v xml:space="preserve">Other   </v>
      </c>
      <c r="B105" s="1185"/>
      <c r="C105" s="1606"/>
      <c r="D105" s="1606"/>
      <c r="E105" s="1607"/>
      <c r="F105" s="1608"/>
      <c r="G105" s="1606"/>
      <c r="H105" s="1609"/>
      <c r="I105" s="1610"/>
      <c r="J105" s="1606"/>
      <c r="K105" s="1609"/>
      <c r="L105" s="369"/>
      <c r="Q105" s="245"/>
    </row>
    <row r="106" spans="1:17" ht="11.25" customHeight="1" x14ac:dyDescent="0.25">
      <c r="A106" s="1266" t="str">
        <f t="shared" si="19"/>
        <v>Economic and environmental services</v>
      </c>
      <c r="B106" s="1185"/>
      <c r="C106" s="1333">
        <f t="shared" ref="C106:K106" si="26">C107+C111+C117</f>
        <v>0</v>
      </c>
      <c r="D106" s="1333">
        <f t="shared" si="26"/>
        <v>27913816.160000004</v>
      </c>
      <c r="E106" s="1501">
        <f t="shared" si="26"/>
        <v>28912248</v>
      </c>
      <c r="F106" s="1337">
        <f t="shared" si="26"/>
        <v>22422827</v>
      </c>
      <c r="G106" s="1333">
        <f t="shared" si="26"/>
        <v>21893252.02</v>
      </c>
      <c r="H106" s="1502">
        <f t="shared" si="26"/>
        <v>21893252.02</v>
      </c>
      <c r="I106" s="1503">
        <f t="shared" si="26"/>
        <v>8177899</v>
      </c>
      <c r="J106" s="1333">
        <f t="shared" si="26"/>
        <v>8660395.0410000011</v>
      </c>
      <c r="K106" s="1502">
        <f t="shared" si="26"/>
        <v>9145377.163296001</v>
      </c>
      <c r="L106" s="369"/>
      <c r="Q106" s="245"/>
    </row>
    <row r="107" spans="1:17" ht="11.25" customHeight="1" x14ac:dyDescent="0.25">
      <c r="A107" s="1325" t="str">
        <f t="shared" si="19"/>
        <v>Planning and development</v>
      </c>
      <c r="B107" s="1185"/>
      <c r="C107" s="1134">
        <f t="shared" ref="C107:K107" si="27">SUM(C108:C110)</f>
        <v>0</v>
      </c>
      <c r="D107" s="1134">
        <f t="shared" si="27"/>
        <v>27913816.160000004</v>
      </c>
      <c r="E107" s="1504">
        <f t="shared" si="27"/>
        <v>28912248</v>
      </c>
      <c r="F107" s="1135">
        <f t="shared" si="27"/>
        <v>22422827</v>
      </c>
      <c r="G107" s="1134">
        <f t="shared" si="27"/>
        <v>21893252.02</v>
      </c>
      <c r="H107" s="1505">
        <f t="shared" si="27"/>
        <v>21893252.02</v>
      </c>
      <c r="I107" s="1506">
        <f t="shared" si="27"/>
        <v>8177899</v>
      </c>
      <c r="J107" s="1134">
        <f t="shared" si="27"/>
        <v>8660395.0410000011</v>
      </c>
      <c r="K107" s="1505">
        <f t="shared" si="27"/>
        <v>9145377.163296001</v>
      </c>
      <c r="L107" s="369"/>
      <c r="Q107" s="245"/>
    </row>
    <row r="108" spans="1:17" ht="11.25" customHeight="1" x14ac:dyDescent="0.25">
      <c r="A108" s="1545" t="str">
        <f t="shared" si="19"/>
        <v xml:space="preserve">Economic Development/Planning </v>
      </c>
      <c r="B108" s="1185"/>
      <c r="C108" s="1606"/>
      <c r="D108" s="1606"/>
      <c r="E108" s="1607">
        <v>4658563</v>
      </c>
      <c r="F108" s="1608">
        <v>2363875</v>
      </c>
      <c r="G108" s="1606">
        <v>2248988.94</v>
      </c>
      <c r="H108" s="1609">
        <v>2248988.94</v>
      </c>
      <c r="I108" s="1610">
        <f>A3A!I252</f>
        <v>2382116</v>
      </c>
      <c r="J108" s="1610">
        <f>A3A!J252</f>
        <v>2522660.8439999996</v>
      </c>
      <c r="K108" s="1610">
        <f>A3A!K252</f>
        <v>2663929.8512639999</v>
      </c>
      <c r="L108" s="369"/>
      <c r="Q108" s="245"/>
    </row>
    <row r="109" spans="1:17" ht="11.25" customHeight="1" x14ac:dyDescent="0.25">
      <c r="A109" s="1545" t="str">
        <f t="shared" si="19"/>
        <v xml:space="preserve">Town Planning/Building enforcement </v>
      </c>
      <c r="B109" s="1185"/>
      <c r="C109" s="1606"/>
      <c r="D109" s="1606">
        <v>24040214.380000003</v>
      </c>
      <c r="E109" s="1607">
        <v>19945695</v>
      </c>
      <c r="F109" s="1608">
        <v>20058952</v>
      </c>
      <c r="G109" s="1606">
        <v>19644263.079999998</v>
      </c>
      <c r="H109" s="1609">
        <v>19644263.079999998</v>
      </c>
      <c r="I109" s="1610">
        <f>A3A!I349+A3A!I375</f>
        <v>5795783</v>
      </c>
      <c r="J109" s="1610">
        <f>A3A!J349+A3A!J375</f>
        <v>6137734.1970000006</v>
      </c>
      <c r="K109" s="1610">
        <f>J109*1.056</f>
        <v>6481447.3120320011</v>
      </c>
      <c r="L109" s="369"/>
      <c r="Q109" s="245"/>
    </row>
    <row r="110" spans="1:17" ht="11.25" customHeight="1" x14ac:dyDescent="0.25">
      <c r="A110" s="1545" t="str">
        <f t="shared" si="19"/>
        <v>Licensing &amp; Regulation</v>
      </c>
      <c r="B110" s="1185"/>
      <c r="C110" s="1606"/>
      <c r="D110" s="1606">
        <v>3873601.7800000003</v>
      </c>
      <c r="E110" s="1607">
        <v>4307990</v>
      </c>
      <c r="F110" s="1608"/>
      <c r="G110" s="1606"/>
      <c r="H110" s="1609"/>
      <c r="I110" s="1610"/>
      <c r="J110" s="1606"/>
      <c r="K110" s="1609"/>
      <c r="L110" s="369"/>
      <c r="Q110" s="245"/>
    </row>
    <row r="111" spans="1:17" ht="11.25" customHeight="1" x14ac:dyDescent="0.25">
      <c r="A111" s="1325" t="str">
        <f t="shared" si="19"/>
        <v>Road transport</v>
      </c>
      <c r="B111" s="1185"/>
      <c r="C111" s="1134">
        <f t="shared" ref="C111:K111" si="28">SUM(C112:C116)</f>
        <v>0</v>
      </c>
      <c r="D111" s="1134">
        <f t="shared" si="28"/>
        <v>0</v>
      </c>
      <c r="E111" s="1504">
        <f t="shared" si="28"/>
        <v>0</v>
      </c>
      <c r="F111" s="1135">
        <f t="shared" si="28"/>
        <v>0</v>
      </c>
      <c r="G111" s="1134">
        <f t="shared" si="28"/>
        <v>0</v>
      </c>
      <c r="H111" s="1505">
        <f t="shared" si="28"/>
        <v>0</v>
      </c>
      <c r="I111" s="1506">
        <f t="shared" si="28"/>
        <v>0</v>
      </c>
      <c r="J111" s="1134">
        <f t="shared" si="28"/>
        <v>0</v>
      </c>
      <c r="K111" s="1505">
        <f t="shared" si="28"/>
        <v>0</v>
      </c>
      <c r="L111" s="369"/>
      <c r="Q111" s="245"/>
    </row>
    <row r="112" spans="1:17" ht="11.25" customHeight="1" x14ac:dyDescent="0.25">
      <c r="A112" s="1545" t="str">
        <f t="shared" si="19"/>
        <v>Roads</v>
      </c>
      <c r="B112" s="1185"/>
      <c r="C112" s="1606"/>
      <c r="D112" s="1606"/>
      <c r="E112" s="1607"/>
      <c r="F112" s="1608"/>
      <c r="G112" s="1606"/>
      <c r="H112" s="1609"/>
      <c r="I112" s="1610"/>
      <c r="J112" s="1606"/>
      <c r="K112" s="1609"/>
      <c r="L112" s="369"/>
      <c r="Q112" s="245"/>
    </row>
    <row r="113" spans="1:17" ht="11.25" customHeight="1" x14ac:dyDescent="0.25">
      <c r="A113" s="1545" t="str">
        <f t="shared" si="19"/>
        <v>Public Buses</v>
      </c>
      <c r="B113" s="1185"/>
      <c r="C113" s="1606"/>
      <c r="D113" s="1606"/>
      <c r="E113" s="1607"/>
      <c r="F113" s="1608"/>
      <c r="G113" s="1606"/>
      <c r="H113" s="1609"/>
      <c r="I113" s="1610"/>
      <c r="J113" s="1606"/>
      <c r="K113" s="1609"/>
      <c r="L113" s="369"/>
      <c r="Q113" s="245"/>
    </row>
    <row r="114" spans="1:17" ht="11.25" customHeight="1" x14ac:dyDescent="0.25">
      <c r="A114" s="1545" t="str">
        <f t="shared" si="19"/>
        <v>Parking Garages</v>
      </c>
      <c r="B114" s="1185"/>
      <c r="C114" s="1606"/>
      <c r="D114" s="1606"/>
      <c r="E114" s="1607"/>
      <c r="F114" s="1608"/>
      <c r="G114" s="1606"/>
      <c r="H114" s="1609"/>
      <c r="I114" s="1610"/>
      <c r="J114" s="1606"/>
      <c r="K114" s="1609"/>
      <c r="L114" s="369"/>
      <c r="Q114" s="245"/>
    </row>
    <row r="115" spans="1:17" ht="11.25" customHeight="1" x14ac:dyDescent="0.25">
      <c r="A115" s="1545" t="str">
        <f t="shared" si="19"/>
        <v>Vehicle Licensing and Testing</v>
      </c>
      <c r="B115" s="1185"/>
      <c r="C115" s="1606"/>
      <c r="D115" s="1606"/>
      <c r="E115" s="1607"/>
      <c r="F115" s="1608"/>
      <c r="G115" s="1606"/>
      <c r="H115" s="1609"/>
      <c r="I115" s="1610"/>
      <c r="J115" s="1606"/>
      <c r="K115" s="1609"/>
      <c r="L115" s="369"/>
      <c r="Q115" s="245"/>
    </row>
    <row r="116" spans="1:17" ht="11.25" customHeight="1" x14ac:dyDescent="0.25">
      <c r="A116" s="1545" t="str">
        <f t="shared" si="19"/>
        <v>Other</v>
      </c>
      <c r="B116" s="1185"/>
      <c r="C116" s="1606"/>
      <c r="D116" s="1606"/>
      <c r="E116" s="1607"/>
      <c r="F116" s="1608"/>
      <c r="G116" s="1606"/>
      <c r="H116" s="1609"/>
      <c r="I116" s="1610"/>
      <c r="J116" s="1606"/>
      <c r="K116" s="1609"/>
      <c r="L116" s="369"/>
      <c r="Q116" s="245"/>
    </row>
    <row r="117" spans="1:17" ht="11.25" customHeight="1" x14ac:dyDescent="0.25">
      <c r="A117" s="1325" t="str">
        <f t="shared" si="19"/>
        <v>Environmental protection</v>
      </c>
      <c r="B117" s="1185"/>
      <c r="C117" s="1134">
        <f t="shared" ref="C117:K117" si="29">SUM(C118:C120)</f>
        <v>0</v>
      </c>
      <c r="D117" s="1134">
        <f t="shared" si="29"/>
        <v>0</v>
      </c>
      <c r="E117" s="1504">
        <f t="shared" si="29"/>
        <v>0</v>
      </c>
      <c r="F117" s="1135">
        <f t="shared" si="29"/>
        <v>0</v>
      </c>
      <c r="G117" s="1134">
        <f t="shared" si="29"/>
        <v>0</v>
      </c>
      <c r="H117" s="1505">
        <f t="shared" si="29"/>
        <v>0</v>
      </c>
      <c r="I117" s="1506">
        <f t="shared" si="29"/>
        <v>0</v>
      </c>
      <c r="J117" s="1134">
        <f t="shared" si="29"/>
        <v>0</v>
      </c>
      <c r="K117" s="1505">
        <f t="shared" si="29"/>
        <v>0</v>
      </c>
      <c r="L117" s="369"/>
      <c r="Q117" s="245"/>
    </row>
    <row r="118" spans="1:17" ht="11.25" customHeight="1" x14ac:dyDescent="0.25">
      <c r="A118" s="1545" t="str">
        <f t="shared" si="19"/>
        <v>Pollution Control</v>
      </c>
      <c r="B118" s="1185"/>
      <c r="C118" s="1606"/>
      <c r="D118" s="1606"/>
      <c r="E118" s="1607"/>
      <c r="F118" s="1608"/>
      <c r="G118" s="1606"/>
      <c r="H118" s="1609"/>
      <c r="I118" s="1610"/>
      <c r="J118" s="1606"/>
      <c r="K118" s="1609"/>
      <c r="L118" s="369"/>
      <c r="Q118" s="245"/>
    </row>
    <row r="119" spans="1:17" ht="11.25" customHeight="1" x14ac:dyDescent="0.25">
      <c r="A119" s="1545" t="str">
        <f t="shared" si="19"/>
        <v>Biodiversity &amp; Landscape</v>
      </c>
      <c r="B119" s="1185"/>
      <c r="C119" s="1606"/>
      <c r="D119" s="1606"/>
      <c r="E119" s="1607"/>
      <c r="F119" s="1608"/>
      <c r="G119" s="1606"/>
      <c r="H119" s="1609"/>
      <c r="I119" s="1610"/>
      <c r="J119" s="1606"/>
      <c r="K119" s="1609"/>
      <c r="L119" s="369"/>
      <c r="Q119" s="245"/>
    </row>
    <row r="120" spans="1:17" ht="11.25" customHeight="1" x14ac:dyDescent="0.25">
      <c r="A120" s="1545" t="str">
        <f t="shared" si="19"/>
        <v>Other</v>
      </c>
      <c r="B120" s="1185"/>
      <c r="C120" s="1606"/>
      <c r="D120" s="1606"/>
      <c r="E120" s="1607"/>
      <c r="F120" s="1608"/>
      <c r="G120" s="1606"/>
      <c r="H120" s="1609"/>
      <c r="I120" s="1610"/>
      <c r="J120" s="1606"/>
      <c r="K120" s="1609"/>
      <c r="L120" s="369"/>
      <c r="Q120" s="245"/>
    </row>
    <row r="121" spans="1:17" ht="11.25" customHeight="1" x14ac:dyDescent="0.25">
      <c r="A121" s="1266" t="str">
        <f t="shared" si="19"/>
        <v>Trading services</v>
      </c>
      <c r="B121" s="1185"/>
      <c r="C121" s="1333">
        <f>C122+C125+C128+C132</f>
        <v>0</v>
      </c>
      <c r="D121" s="1333">
        <f t="shared" ref="D121:K121" si="30">D122+D125+D128+D132</f>
        <v>200957599.47</v>
      </c>
      <c r="E121" s="1501">
        <f t="shared" si="30"/>
        <v>178647549</v>
      </c>
      <c r="F121" s="1337">
        <f t="shared" si="30"/>
        <v>157104624.648256</v>
      </c>
      <c r="G121" s="1333">
        <f t="shared" si="30"/>
        <v>111996188.99825601</v>
      </c>
      <c r="H121" s="1502">
        <f t="shared" si="30"/>
        <v>111996188.99825601</v>
      </c>
      <c r="I121" s="1503">
        <f t="shared" si="30"/>
        <v>222368524.21000001</v>
      </c>
      <c r="J121" s="1333">
        <f t="shared" si="30"/>
        <v>235488267.13838997</v>
      </c>
      <c r="K121" s="1502">
        <f t="shared" si="30"/>
        <v>248675610.09813985</v>
      </c>
      <c r="L121" s="369"/>
      <c r="Q121" s="245"/>
    </row>
    <row r="122" spans="1:17" ht="11.25" customHeight="1" x14ac:dyDescent="0.25">
      <c r="A122" s="1325" t="str">
        <f t="shared" si="19"/>
        <v>Electricity</v>
      </c>
      <c r="B122" s="1185"/>
      <c r="C122" s="1134">
        <f t="shared" ref="C122:K122" si="31">SUM(C123:C124)</f>
        <v>0</v>
      </c>
      <c r="D122" s="1134">
        <f t="shared" si="31"/>
        <v>2714327.08</v>
      </c>
      <c r="E122" s="1504">
        <f t="shared" si="31"/>
        <v>3759338</v>
      </c>
      <c r="F122" s="1135">
        <f t="shared" si="31"/>
        <v>2973341</v>
      </c>
      <c r="G122" s="1134">
        <f t="shared" si="31"/>
        <v>1952697.95</v>
      </c>
      <c r="H122" s="1505">
        <f t="shared" si="31"/>
        <v>1952697.95</v>
      </c>
      <c r="I122" s="1506">
        <f t="shared" si="31"/>
        <v>2161755</v>
      </c>
      <c r="J122" s="1134">
        <f t="shared" si="31"/>
        <v>2289298.5449999999</v>
      </c>
      <c r="K122" s="1505">
        <f t="shared" si="31"/>
        <v>2417499.2635199996</v>
      </c>
      <c r="L122" s="369"/>
      <c r="Q122" s="245"/>
    </row>
    <row r="123" spans="1:17" ht="11.25" customHeight="1" x14ac:dyDescent="0.25">
      <c r="A123" s="1545" t="str">
        <f t="shared" si="19"/>
        <v>Electricity Distribution</v>
      </c>
      <c r="B123" s="1185"/>
      <c r="C123" s="1606"/>
      <c r="D123" s="1606">
        <v>0</v>
      </c>
      <c r="E123" s="1607">
        <v>3759338</v>
      </c>
      <c r="F123" s="1608"/>
      <c r="G123" s="1606"/>
      <c r="H123" s="1609"/>
      <c r="I123" s="1610"/>
      <c r="J123" s="1606"/>
      <c r="K123" s="1609"/>
      <c r="L123" s="369"/>
      <c r="Q123" s="245"/>
    </row>
    <row r="124" spans="1:17" ht="11.25" customHeight="1" x14ac:dyDescent="0.25">
      <c r="A124" s="1545" t="str">
        <f t="shared" si="19"/>
        <v>Electricity Generation</v>
      </c>
      <c r="B124" s="1185"/>
      <c r="C124" s="1606"/>
      <c r="D124" s="1606">
        <v>2714327.08</v>
      </c>
      <c r="E124" s="1607"/>
      <c r="F124" s="1608">
        <v>2973341</v>
      </c>
      <c r="G124" s="1606">
        <v>1952697.95</v>
      </c>
      <c r="H124" s="1609">
        <v>1952697.95</v>
      </c>
      <c r="I124" s="1610">
        <f>A3A!I433</f>
        <v>2161755</v>
      </c>
      <c r="J124" s="1610">
        <f>A3A!J433</f>
        <v>2289298.5449999999</v>
      </c>
      <c r="K124" s="1610">
        <f>A3A!K433</f>
        <v>2417499.2635199996</v>
      </c>
      <c r="L124" s="369"/>
      <c r="Q124" s="245"/>
    </row>
    <row r="125" spans="1:17" ht="11.25" customHeight="1" x14ac:dyDescent="0.25">
      <c r="A125" s="1325" t="str">
        <f t="shared" si="19"/>
        <v>Water</v>
      </c>
      <c r="B125" s="1185"/>
      <c r="C125" s="1134">
        <f t="shared" ref="C125:K125" si="32">SUM(C126:C127)</f>
        <v>0</v>
      </c>
      <c r="D125" s="1134">
        <f t="shared" si="32"/>
        <v>172498202.19999999</v>
      </c>
      <c r="E125" s="1504">
        <f t="shared" si="32"/>
        <v>166161215</v>
      </c>
      <c r="F125" s="1135">
        <f t="shared" si="32"/>
        <v>144290029.648256</v>
      </c>
      <c r="G125" s="1134">
        <f t="shared" si="32"/>
        <v>101786319.788256</v>
      </c>
      <c r="H125" s="1505">
        <f t="shared" si="32"/>
        <v>101786319.788256</v>
      </c>
      <c r="I125" s="1506">
        <f t="shared" si="32"/>
        <v>193830062</v>
      </c>
      <c r="J125" s="1134">
        <f t="shared" si="32"/>
        <v>205266035.65799999</v>
      </c>
      <c r="K125" s="1505">
        <f t="shared" si="32"/>
        <v>216760933.65484798</v>
      </c>
      <c r="L125" s="369"/>
      <c r="Q125" s="245"/>
    </row>
    <row r="126" spans="1:17" ht="11.25" customHeight="1" x14ac:dyDescent="0.25">
      <c r="A126" s="1545" t="str">
        <f t="shared" si="19"/>
        <v>Water Distribution</v>
      </c>
      <c r="B126" s="1185"/>
      <c r="C126" s="1606"/>
      <c r="D126" s="1606">
        <v>172498202.19999999</v>
      </c>
      <c r="E126" s="1607">
        <v>166161215</v>
      </c>
      <c r="F126" s="1608">
        <v>144290029.648256</v>
      </c>
      <c r="G126" s="1606">
        <v>101786319.788256</v>
      </c>
      <c r="H126" s="1609">
        <v>101786319.788256</v>
      </c>
      <c r="I126" s="1610">
        <f>A3A!I454</f>
        <v>193830062</v>
      </c>
      <c r="J126" s="1610">
        <f>A3A!J454</f>
        <v>205266035.65799999</v>
      </c>
      <c r="K126" s="1610">
        <f>A3A!K454</f>
        <v>216760933.65484798</v>
      </c>
      <c r="L126" s="369"/>
      <c r="Q126" s="245"/>
    </row>
    <row r="127" spans="1:17" ht="11.25" customHeight="1" x14ac:dyDescent="0.25">
      <c r="A127" s="1545" t="str">
        <f t="shared" si="19"/>
        <v>Water Storage</v>
      </c>
      <c r="B127" s="1185"/>
      <c r="C127" s="1606"/>
      <c r="D127" s="1606"/>
      <c r="E127" s="1607"/>
      <c r="F127" s="1608"/>
      <c r="G127" s="1606"/>
      <c r="H127" s="1609"/>
      <c r="I127" s="1610"/>
      <c r="J127" s="1606"/>
      <c r="K127" s="1609"/>
      <c r="L127" s="369"/>
      <c r="Q127" s="245"/>
    </row>
    <row r="128" spans="1:17" ht="11.25" customHeight="1" x14ac:dyDescent="0.25">
      <c r="A128" s="1325" t="str">
        <f t="shared" si="19"/>
        <v>Waste water management</v>
      </c>
      <c r="B128" s="1185"/>
      <c r="C128" s="1134">
        <f t="shared" ref="C128:K128" si="33">SUM(C129:C131)</f>
        <v>0</v>
      </c>
      <c r="D128" s="1134">
        <f t="shared" si="33"/>
        <v>10271819.15</v>
      </c>
      <c r="E128" s="1504">
        <f t="shared" si="33"/>
        <v>5683924</v>
      </c>
      <c r="F128" s="1135">
        <f t="shared" si="33"/>
        <v>6084254</v>
      </c>
      <c r="G128" s="1134">
        <f t="shared" si="33"/>
        <v>4500171.26</v>
      </c>
      <c r="H128" s="1505">
        <f t="shared" si="33"/>
        <v>4500171.26</v>
      </c>
      <c r="I128" s="1506">
        <f t="shared" si="33"/>
        <v>18199580.210000001</v>
      </c>
      <c r="J128" s="1134">
        <f t="shared" si="33"/>
        <v>19273355.442390002</v>
      </c>
      <c r="K128" s="1505">
        <f t="shared" si="33"/>
        <v>20352663.347163841</v>
      </c>
      <c r="L128" s="369"/>
      <c r="Q128" s="245"/>
    </row>
    <row r="129" spans="1:17" ht="11.25" customHeight="1" x14ac:dyDescent="0.25">
      <c r="A129" s="1545" t="str">
        <f t="shared" si="19"/>
        <v>Sewerage</v>
      </c>
      <c r="B129" s="1185"/>
      <c r="C129" s="1606"/>
      <c r="D129" s="1606"/>
      <c r="E129" s="1607"/>
      <c r="F129" s="1608"/>
      <c r="G129" s="1606"/>
      <c r="H129" s="1609"/>
      <c r="I129" s="1610">
        <f>A3A!I527</f>
        <v>5803456</v>
      </c>
      <c r="J129" s="1610">
        <f>A3A!J527</f>
        <v>6145859.9040000001</v>
      </c>
      <c r="K129" s="1610">
        <f>A3A!K527</f>
        <v>6490028.0586240003</v>
      </c>
      <c r="L129" s="369"/>
      <c r="Q129" s="245"/>
    </row>
    <row r="130" spans="1:17" ht="11.25" customHeight="1" x14ac:dyDescent="0.25">
      <c r="A130" s="1545" t="str">
        <f t="shared" si="19"/>
        <v>Storm Water Management</v>
      </c>
      <c r="B130" s="1185"/>
      <c r="C130" s="1606"/>
      <c r="D130" s="1606">
        <v>10271819.15</v>
      </c>
      <c r="E130" s="1607">
        <v>5683924</v>
      </c>
      <c r="F130" s="1608">
        <v>6084254</v>
      </c>
      <c r="G130" s="1606">
        <v>4500171.26</v>
      </c>
      <c r="H130" s="1609">
        <v>4500171.26</v>
      </c>
      <c r="I130" s="1610">
        <f>A3A!I497</f>
        <v>12396124.210000001</v>
      </c>
      <c r="J130" s="1610">
        <f>A3A!J497</f>
        <v>13127495.538390001</v>
      </c>
      <c r="K130" s="1610">
        <f>A3A!K497</f>
        <v>13862635.28853984</v>
      </c>
      <c r="L130" s="369"/>
      <c r="Q130" s="245"/>
    </row>
    <row r="131" spans="1:17" ht="11.25" customHeight="1" x14ac:dyDescent="0.25">
      <c r="A131" s="1545" t="str">
        <f t="shared" si="19"/>
        <v>Public Toilets</v>
      </c>
      <c r="B131" s="1185"/>
      <c r="C131" s="1606"/>
      <c r="D131" s="1606"/>
      <c r="E131" s="1607"/>
      <c r="F131" s="1608"/>
      <c r="G131" s="1606"/>
      <c r="H131" s="1609"/>
      <c r="I131" s="1610"/>
      <c r="J131" s="1606"/>
      <c r="K131" s="1609"/>
      <c r="L131" s="369"/>
      <c r="Q131" s="245"/>
    </row>
    <row r="132" spans="1:17" ht="11.25" customHeight="1" x14ac:dyDescent="0.25">
      <c r="A132" s="1325" t="str">
        <f t="shared" si="19"/>
        <v>Waste management</v>
      </c>
      <c r="B132" s="1185"/>
      <c r="C132" s="1134">
        <f t="shared" ref="C132:K132" si="34">SUM(C133)</f>
        <v>0</v>
      </c>
      <c r="D132" s="1134">
        <f t="shared" si="34"/>
        <v>15473251.039999999</v>
      </c>
      <c r="E132" s="1504">
        <f t="shared" si="34"/>
        <v>3043072</v>
      </c>
      <c r="F132" s="1135">
        <f t="shared" si="34"/>
        <v>3757000</v>
      </c>
      <c r="G132" s="1134">
        <f t="shared" si="34"/>
        <v>3757000</v>
      </c>
      <c r="H132" s="1505">
        <f t="shared" si="34"/>
        <v>3757000</v>
      </c>
      <c r="I132" s="1506">
        <f t="shared" si="34"/>
        <v>8177127</v>
      </c>
      <c r="J132" s="1134">
        <f t="shared" si="34"/>
        <v>8659577.4929999989</v>
      </c>
      <c r="K132" s="1505">
        <f t="shared" si="34"/>
        <v>9144513.8326080013</v>
      </c>
      <c r="L132" s="369"/>
      <c r="Q132" s="245"/>
    </row>
    <row r="133" spans="1:17" ht="11.25" customHeight="1" x14ac:dyDescent="0.25">
      <c r="A133" s="1545" t="str">
        <f t="shared" si="19"/>
        <v>Solid Waste</v>
      </c>
      <c r="B133" s="1183"/>
      <c r="C133" s="1606"/>
      <c r="D133" s="1606">
        <v>15473251.039999999</v>
      </c>
      <c r="E133" s="1607">
        <v>3043072</v>
      </c>
      <c r="F133" s="1608">
        <v>3757000</v>
      </c>
      <c r="G133" s="1606">
        <v>3757000</v>
      </c>
      <c r="H133" s="1609">
        <v>3757000</v>
      </c>
      <c r="I133" s="1610">
        <f>A3A!I412</f>
        <v>8177127</v>
      </c>
      <c r="J133" s="1610">
        <f>I133*1.059</f>
        <v>8659577.4929999989</v>
      </c>
      <c r="K133" s="1610">
        <f>A3A!K412</f>
        <v>9144513.8326080013</v>
      </c>
      <c r="L133" s="369"/>
    </row>
    <row r="134" spans="1:17" ht="11.25" customHeight="1" x14ac:dyDescent="0.25">
      <c r="A134" s="1266" t="str">
        <f t="shared" si="19"/>
        <v>Other</v>
      </c>
      <c r="B134" s="1183"/>
      <c r="C134" s="1333">
        <f t="shared" ref="C134:K134" si="35">SUM(C135:C139)</f>
        <v>0</v>
      </c>
      <c r="D134" s="1333">
        <f t="shared" si="35"/>
        <v>0</v>
      </c>
      <c r="E134" s="1501">
        <f t="shared" si="35"/>
        <v>0</v>
      </c>
      <c r="F134" s="1337">
        <f t="shared" si="35"/>
        <v>0</v>
      </c>
      <c r="G134" s="1333">
        <f t="shared" si="35"/>
        <v>0</v>
      </c>
      <c r="H134" s="1502">
        <f t="shared" si="35"/>
        <v>0</v>
      </c>
      <c r="I134" s="1503">
        <f t="shared" si="35"/>
        <v>0</v>
      </c>
      <c r="J134" s="1333">
        <f t="shared" si="35"/>
        <v>0</v>
      </c>
      <c r="K134" s="1502">
        <f t="shared" si="35"/>
        <v>0</v>
      </c>
      <c r="L134" s="369"/>
    </row>
    <row r="135" spans="1:17" ht="11.25" customHeight="1" x14ac:dyDescent="0.25">
      <c r="A135" s="1325" t="str">
        <f t="shared" si="19"/>
        <v>Air Transport</v>
      </c>
      <c r="B135" s="1183"/>
      <c r="C135" s="1606"/>
      <c r="D135" s="1606"/>
      <c r="E135" s="1607"/>
      <c r="F135" s="1608"/>
      <c r="G135" s="1606"/>
      <c r="H135" s="1609"/>
      <c r="I135" s="1610"/>
      <c r="J135" s="1606"/>
      <c r="K135" s="1609"/>
      <c r="L135" s="369"/>
    </row>
    <row r="136" spans="1:17" ht="11.25" customHeight="1" x14ac:dyDescent="0.25">
      <c r="A136" s="1325" t="str">
        <f t="shared" si="19"/>
        <v>Abattoirs</v>
      </c>
      <c r="B136" s="1183"/>
      <c r="C136" s="1606"/>
      <c r="D136" s="1606"/>
      <c r="E136" s="1607"/>
      <c r="F136" s="1608"/>
      <c r="G136" s="1606"/>
      <c r="H136" s="1609"/>
      <c r="I136" s="1610"/>
      <c r="J136" s="1606"/>
      <c r="K136" s="1609"/>
      <c r="L136" s="369"/>
    </row>
    <row r="137" spans="1:17" ht="11.25" customHeight="1" x14ac:dyDescent="0.25">
      <c r="A137" s="1325" t="str">
        <f t="shared" si="19"/>
        <v>Tourism</v>
      </c>
      <c r="B137" s="1183"/>
      <c r="C137" s="1606"/>
      <c r="D137" s="1606"/>
      <c r="E137" s="1607"/>
      <c r="F137" s="1608"/>
      <c r="G137" s="1606"/>
      <c r="H137" s="1609"/>
      <c r="I137" s="1610"/>
      <c r="J137" s="1606"/>
      <c r="K137" s="1609"/>
      <c r="L137" s="369"/>
    </row>
    <row r="138" spans="1:17" ht="11.25" customHeight="1" x14ac:dyDescent="0.25">
      <c r="A138" s="1325" t="str">
        <f t="shared" si="19"/>
        <v>Forestry</v>
      </c>
      <c r="B138" s="1183"/>
      <c r="C138" s="1606"/>
      <c r="D138" s="1606"/>
      <c r="E138" s="1607"/>
      <c r="F138" s="1608"/>
      <c r="G138" s="1606"/>
      <c r="H138" s="1609"/>
      <c r="I138" s="1610"/>
      <c r="J138" s="1606"/>
      <c r="K138" s="1609"/>
      <c r="L138" s="369"/>
    </row>
    <row r="139" spans="1:17" ht="11.25" customHeight="1" x14ac:dyDescent="0.25">
      <c r="A139" s="1325" t="str">
        <f>A70</f>
        <v>Markets</v>
      </c>
      <c r="B139" s="1183"/>
      <c r="C139" s="1606"/>
      <c r="D139" s="1606"/>
      <c r="E139" s="1607"/>
      <c r="F139" s="1608"/>
      <c r="G139" s="1606"/>
      <c r="H139" s="1609"/>
      <c r="I139" s="1610"/>
      <c r="J139" s="1606"/>
      <c r="K139" s="1609"/>
      <c r="L139" s="369"/>
    </row>
    <row r="140" spans="1:17" ht="11.25" customHeight="1" x14ac:dyDescent="0.25">
      <c r="A140" s="1184" t="str">
        <f>"Total "&amp;A73</f>
        <v>Total Expenditure - Standard</v>
      </c>
      <c r="B140" s="1183">
        <v>3</v>
      </c>
      <c r="C140" s="267">
        <f>C74+C84+C106+C121+C134</f>
        <v>367303885</v>
      </c>
      <c r="D140" s="267">
        <f>D74+D84+D106+D121+D134</f>
        <v>480311834.57000005</v>
      </c>
      <c r="E140" s="1511">
        <f t="shared" ref="E140:J140" si="36">E74+E84+E106+E121+E134</f>
        <v>634171173</v>
      </c>
      <c r="F140" s="270">
        <f t="shared" si="36"/>
        <v>542203713.77425599</v>
      </c>
      <c r="G140" s="267">
        <f t="shared" si="36"/>
        <v>360517281.74825597</v>
      </c>
      <c r="H140" s="1512">
        <f t="shared" si="36"/>
        <v>360517281.74825597</v>
      </c>
      <c r="I140" s="1513">
        <f t="shared" si="36"/>
        <v>629943578.63999999</v>
      </c>
      <c r="J140" s="267">
        <f t="shared" si="36"/>
        <v>667110249.77976</v>
      </c>
      <c r="K140" s="1512">
        <f>K74+K84+K106+K121+K134</f>
        <v>704468423.76742649</v>
      </c>
      <c r="L140" s="369"/>
      <c r="Q140" s="280"/>
    </row>
    <row r="141" spans="1:17" x14ac:dyDescent="0.25">
      <c r="A141" s="1186" t="str">
        <f>result</f>
        <v>Surplus/(Deficit) for the year</v>
      </c>
      <c r="B141" s="1187"/>
      <c r="C141" s="283">
        <f t="shared" ref="C141:K141" si="37">C71-C140</f>
        <v>14225858</v>
      </c>
      <c r="D141" s="283">
        <f t="shared" si="37"/>
        <v>30489701.429999948</v>
      </c>
      <c r="E141" s="284">
        <f t="shared" si="37"/>
        <v>-132346447</v>
      </c>
      <c r="F141" s="285">
        <f t="shared" si="37"/>
        <v>-68443590.786256015</v>
      </c>
      <c r="G141" s="283">
        <f t="shared" si="37"/>
        <v>141053425.83974397</v>
      </c>
      <c r="H141" s="282">
        <f t="shared" si="37"/>
        <v>141053425.83974397</v>
      </c>
      <c r="I141" s="286">
        <f t="shared" si="37"/>
        <v>-20867501.850000024</v>
      </c>
      <c r="J141" s="283">
        <f t="shared" si="37"/>
        <v>-22098684.459150076</v>
      </c>
      <c r="K141" s="284">
        <f t="shared" si="37"/>
        <v>-23336210.788862228</v>
      </c>
      <c r="L141" s="369"/>
    </row>
    <row r="142" spans="1:17" x14ac:dyDescent="0.25">
      <c r="A142" s="1188" t="str">
        <f>head27a</f>
        <v>References</v>
      </c>
      <c r="B142" s="1189"/>
      <c r="C142" s="1054"/>
      <c r="D142" s="1054"/>
      <c r="E142" s="1054"/>
      <c r="F142" s="1054"/>
      <c r="G142" s="1054"/>
      <c r="H142" s="1054"/>
      <c r="I142" s="1054"/>
      <c r="J142" s="1054"/>
      <c r="K142" s="1054"/>
      <c r="L142" s="369"/>
    </row>
    <row r="143" spans="1:17" ht="11.25" customHeight="1" x14ac:dyDescent="0.25">
      <c r="A143" s="1190" t="s">
        <v>437</v>
      </c>
      <c r="B143" s="1189"/>
      <c r="C143" s="1191"/>
      <c r="D143" s="1191"/>
      <c r="E143" s="1192"/>
      <c r="F143" s="1192"/>
      <c r="G143" s="1192"/>
      <c r="H143" s="1192"/>
      <c r="I143" s="1192"/>
      <c r="J143" s="1192"/>
      <c r="K143" s="1192"/>
    </row>
    <row r="144" spans="1:17" ht="11.25" customHeight="1" x14ac:dyDescent="0.25">
      <c r="A144" s="1193" t="s">
        <v>1794</v>
      </c>
      <c r="B144" s="1189"/>
      <c r="C144" s="1191"/>
      <c r="D144" s="1191"/>
      <c r="E144" s="1192"/>
      <c r="F144" s="1192"/>
      <c r="G144" s="1192"/>
      <c r="H144" s="1192"/>
      <c r="I144" s="1192"/>
      <c r="J144" s="1192"/>
      <c r="K144" s="1192"/>
    </row>
    <row r="145" spans="1:11" ht="11.25" customHeight="1" x14ac:dyDescent="0.25">
      <c r="A145" s="1190" t="s">
        <v>1795</v>
      </c>
      <c r="B145" s="1189"/>
      <c r="C145" s="1191"/>
      <c r="D145" s="1191"/>
      <c r="E145" s="1192"/>
      <c r="F145" s="1192"/>
      <c r="G145" s="1192"/>
      <c r="H145" s="1192"/>
      <c r="I145" s="1192"/>
      <c r="J145" s="1192"/>
      <c r="K145" s="1192"/>
    </row>
    <row r="146" spans="1:11" ht="22.5" customHeight="1" x14ac:dyDescent="0.25">
      <c r="A146" s="2770" t="s">
        <v>140</v>
      </c>
      <c r="B146" s="2770"/>
      <c r="C146" s="2770"/>
      <c r="D146" s="2770"/>
      <c r="E146" s="2770"/>
      <c r="F146" s="2770"/>
      <c r="G146" s="2770"/>
      <c r="H146" s="2770"/>
      <c r="I146" s="2770"/>
      <c r="J146" s="2770"/>
      <c r="K146" s="2770"/>
    </row>
    <row r="147" spans="1:11" ht="11.25" customHeight="1" x14ac:dyDescent="0.25">
      <c r="A147" s="246"/>
      <c r="B147" s="236"/>
      <c r="C147" s="240"/>
      <c r="D147" s="240"/>
      <c r="E147" s="241"/>
      <c r="F147" s="241"/>
      <c r="G147" s="241"/>
      <c r="H147" s="241"/>
      <c r="I147" s="241"/>
      <c r="J147" s="241"/>
      <c r="K147" s="241"/>
    </row>
    <row r="148" spans="1:11" ht="11.25" customHeight="1" x14ac:dyDescent="0.25">
      <c r="A148" s="246"/>
      <c r="B148" s="236"/>
      <c r="C148" s="240"/>
      <c r="D148" s="240"/>
      <c r="E148" s="241"/>
      <c r="F148" s="241"/>
      <c r="G148" s="241"/>
      <c r="H148" s="241"/>
      <c r="I148" s="241"/>
      <c r="J148" s="241"/>
      <c r="K148" s="241"/>
    </row>
    <row r="149" spans="1:11" ht="11.25" customHeight="1" x14ac:dyDescent="0.25">
      <c r="A149" s="288" t="s">
        <v>154</v>
      </c>
      <c r="B149" s="243"/>
      <c r="C149" s="289">
        <f>C71-'A4-FinPerf RE'!C60</f>
        <v>0</v>
      </c>
      <c r="D149" s="289">
        <f>D71-'A4-FinPerf RE'!D60</f>
        <v>0</v>
      </c>
      <c r="E149" s="1025">
        <f>E71-'A4-FinPerf RE'!E60</f>
        <v>-0.47000002861022949</v>
      </c>
      <c r="F149" s="289">
        <f>F71-'A4-FinPerf RE'!F60</f>
        <v>0</v>
      </c>
      <c r="G149" s="289">
        <f>G71-'A4-FinPerf RE'!G60</f>
        <v>0</v>
      </c>
      <c r="H149" s="289">
        <f>H71-'A4-FinPerf RE'!H60</f>
        <v>0</v>
      </c>
      <c r="I149" s="289">
        <f>I71-'A4-FinPerf RE'!J60</f>
        <v>0</v>
      </c>
      <c r="J149" s="289">
        <f>J71-'A4-FinPerf RE'!K60</f>
        <v>0</v>
      </c>
      <c r="K149" s="289">
        <f>K71-'A4-FinPerf RE'!L60</f>
        <v>0</v>
      </c>
    </row>
    <row r="150" spans="1:11" ht="11.25" customHeight="1" x14ac:dyDescent="0.25">
      <c r="A150" s="288" t="s">
        <v>870</v>
      </c>
      <c r="B150" s="243"/>
      <c r="C150" s="289">
        <f>C140-'A4-FinPerf RE'!C36</f>
        <v>0</v>
      </c>
      <c r="D150" s="289">
        <f>D140-'A4-FinPerf RE'!D36</f>
        <v>-0.4299999475479126</v>
      </c>
      <c r="E150" s="1025">
        <f>E140-'A4-FinPerf RE'!E36</f>
        <v>0</v>
      </c>
      <c r="F150" s="289">
        <f>F140-'A4-FinPerf RE'!F36</f>
        <v>0</v>
      </c>
      <c r="G150" s="289">
        <f>G140-'A4-FinPerf RE'!G36</f>
        <v>3.9999485015869141E-3</v>
      </c>
      <c r="H150" s="289">
        <f>H140-'A4-FinPerf RE'!H36</f>
        <v>3.9999485015869141E-3</v>
      </c>
      <c r="I150" s="289">
        <f>I140-'A4-FinPerf RE'!J36</f>
        <v>0</v>
      </c>
      <c r="J150" s="289">
        <f>J140-'A4-FinPerf RE'!K36</f>
        <v>0</v>
      </c>
      <c r="K150" s="289">
        <f>K140-'A4-FinPerf RE'!L36</f>
        <v>0</v>
      </c>
    </row>
    <row r="151" spans="1:11" ht="11.25" customHeight="1" x14ac:dyDescent="0.25"/>
    <row r="152" spans="1:11" ht="11.25" customHeight="1" x14ac:dyDescent="0.25"/>
    <row r="153" spans="1:11" ht="11.25" customHeight="1" x14ac:dyDescent="0.25"/>
    <row r="154" spans="1:11" ht="11.25" customHeight="1" x14ac:dyDescent="0.25">
      <c r="E154" s="362"/>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customSheetViews>
    <customSheetView guid="{F50C5479-5CC4-4FD7-8319-543D29E829F0}" showGridLines="0">
      <selection activeCell="C34" sqref="C34:E36"/>
      <pageMargins left="0.75" right="0.75" top="1" bottom="1" header="0.5" footer="0.5"/>
      <headerFooter alignWithMargins="0"/>
    </customSheetView>
  </customSheetViews>
  <mergeCells count="3">
    <mergeCell ref="F2:H2"/>
    <mergeCell ref="I2:K2"/>
    <mergeCell ref="A146:K146"/>
  </mergeCells>
  <phoneticPr fontId="2" type="noConversion"/>
  <pageMargins left="0.74803149606299213" right="0.74803149606299213" top="0.98425196850393704" bottom="0.98425196850393704" header="0.51181102362204722" footer="0.51181102362204722"/>
  <pageSetup paperSize="9" scale="70"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FE47864-B7D4-4B71-95F0-8FEEFBE0C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F39E9AE-D95F-4FCE-81A3-7D45340A29B6}">
  <ds:schemaRefs>
    <ds:schemaRef ds:uri="http://schemas.microsoft.com/sharepoint/v3/contenttype/forms"/>
  </ds:schemaRefs>
</ds:datastoreItem>
</file>

<file path=customXml/itemProps3.xml><?xml version="1.0" encoding="utf-8"?>
<ds:datastoreItem xmlns:ds="http://schemas.openxmlformats.org/officeDocument/2006/customXml" ds:itemID="{4D3F6D53-CCDF-492F-BBE8-0A1E0A1ECE29}">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251</vt:i4>
      </vt:variant>
    </vt:vector>
  </HeadingPairs>
  <TitlesOfParts>
    <vt:vector size="313"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SA13a</vt:lpstr>
      <vt:lpstr>SA13b</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SA13a!Print_Area</vt:lpstr>
      <vt:lpstr>SA13b!Print_Area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TableA13a</vt:lpstr>
      <vt:lpstr>TableA13b</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mashaob</cp:lastModifiedBy>
  <cp:lastPrinted>2015-07-03T09:19:01Z</cp:lastPrinted>
  <dcterms:created xsi:type="dcterms:W3CDTF">2004-04-07T16:19:08Z</dcterms:created>
  <dcterms:modified xsi:type="dcterms:W3CDTF">2015-07-03T10:54:56Z</dcterms:modified>
</cp:coreProperties>
</file>